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COUTURE\Nutstore\1\可图雅-排期总表\JP\"/>
    </mc:Choice>
  </mc:AlternateContent>
  <bookViews>
    <workbookView windowWidth="28800" windowHeight="11775" tabRatio="862" firstSheet="24" activeTab="35"/>
  </bookViews>
  <sheets>
    <sheet name="#33835 小搪胶鸭子 " sheetId="128" state="hidden" r:id="rId1"/>
    <sheet name="#11839 磁铁肩膀史迪仔" sheetId="119" state="hidden" r:id="rId2"/>
    <sheet name="#14265 匙扣系列6款" sheetId="62" state="hidden" r:id="rId3"/>
    <sheet name="#27694 侏罗纪棘龙" sheetId="61" state="hidden" r:id="rId4"/>
    <sheet name="#28465 14寸动物" sheetId="57" state="hidden" r:id="rId5"/>
    <sheet name="#75280 搪胶公仔" sheetId="59" state="hidden" r:id="rId6"/>
    <sheet name="#25250肩膀磁铁公仔" sheetId="91" state="hidden" r:id="rId7"/>
    <sheet name="#50530 肩胶磁铁公仔" sheetId="121" state="hidden" r:id="rId8"/>
    <sheet name="#14245 肩膀磁铁公仔" sheetId="122" state="hidden" r:id="rId9"/>
    <sheet name="#14225 肩膀磁铁公仔" sheetId="70" state="hidden" r:id="rId10"/>
    <sheet name="#82165肩膀磁铁海棉宝宝" sheetId="93" state="hidden" r:id="rId11"/>
    <sheet name="#11369 投影米奇" sheetId="58" r:id="rId12"/>
    <sheet name="#21150 六款豆袋系列" sheetId="45" state="hidden" r:id="rId13"/>
    <sheet name="#11356毯子系列8款" sheetId="27" state="hidden" r:id="rId14"/>
    <sheet name="#12369摇手米奇 " sheetId="21" r:id="rId15"/>
    <sheet name="#12125爬爬米奇米妮减价版本" sheetId="20" r:id="rId16"/>
    <sheet name="#14745两款坐姿米奇米妮" sheetId="22" r:id="rId17"/>
    <sheet name="#88188 背包狗" sheetId="24" r:id="rId18"/>
    <sheet name="#28472 11&quot; 浅黄色狮子" sheetId="56" state="hidden" r:id="rId19"/>
    <sheet name="#28483 振动球" sheetId="96" r:id="rId20"/>
    <sheet name="#28481 骰子" sheetId="95" r:id="rId21"/>
    <sheet name="#28458 五款硅胶手感球" sheetId="60" r:id="rId22"/>
    <sheet name="#75280 3款搪胶公仔" sheetId="126" r:id="rId23"/>
    <sheet name="#33429 搪胶小鸭子系列" sheetId="120" r:id="rId24"/>
    <sheet name="#33920 搪胶7款" sheetId="134" r:id="rId25"/>
    <sheet name="#33782 小搪胶鸭子" sheetId="80" r:id="rId26"/>
    <sheet name="#33454 小搪胶鸭子" sheetId="131" r:id="rId27"/>
    <sheet name="#33410 小搪胶鸭子" sheetId="87" r:id="rId28"/>
    <sheet name="#33430 小鸭子" sheetId="132" r:id="rId29"/>
    <sheet name="#33487 盲盒小鸭子" sheetId="117" r:id="rId30"/>
    <sheet name="#33776 盲盒小鸭子" sheetId="124" state="hidden" r:id="rId31"/>
    <sheet name="#33490 搪胶小鸭子" sheetId="69" r:id="rId32"/>
    <sheet name="#33475 搪胶小鸭子" sheetId="65" r:id="rId33"/>
    <sheet name="#33813 搪胶7款" sheetId="111" r:id="rId34"/>
    <sheet name="#33812 搪胶5款" sheetId="123" r:id="rId35"/>
    <sheet name="#33808 搪胶8款" sheetId="113" r:id="rId36"/>
    <sheet name="#33807 搪胶8款" sheetId="114" r:id="rId37"/>
    <sheet name="#送RR 小鸭子" sheetId="109" r:id="rId38"/>
    <sheet name="#12772迪斯尼搪胶鸭子" sheetId="98" state="hidden" r:id="rId39"/>
    <sheet name="#33735小搪胶鸭子" sheetId="100" state="hidden" r:id="rId40"/>
    <sheet name="#33465 W1+W2+W3+W4+W5+W6" sheetId="67" r:id="rId41"/>
    <sheet name="#33658 纽约系列 " sheetId="107" r:id="rId42"/>
    <sheet name="#33708 星战系列 " sheetId="116" state="hidden" r:id="rId43"/>
    <sheet name="#33853 情人节系列" sheetId="133" r:id="rId44"/>
    <sheet name="#33415 小搪胶鸭子系列13款" sheetId="5" r:id="rId45"/>
    <sheet name="#33438 夏季小鸭系列" sheetId="139" state="hidden" r:id="rId46"/>
    <sheet name="#33769 小搪胶鸭子" sheetId="140" state="hidden" r:id="rId47"/>
    <sheet name="#26850华纳小鸭子超人系列" sheetId="31" r:id="rId48"/>
    <sheet name="#26870华纳小鸭子恐怖系列" sheetId="102" state="hidden" r:id="rId49"/>
    <sheet name="#33865 搪胶小鸭子" sheetId="130" state="hidden" r:id="rId50"/>
    <sheet name="#33610小搪胶鸭子" sheetId="101" state="hidden" r:id="rId51"/>
    <sheet name="#33670 搪胶小鸭子 " sheetId="135" r:id="rId52"/>
    <sheet name="#33745搪胶小鸭子 " sheetId="136" r:id="rId53"/>
    <sheet name="#33825搪胶小鸭子 " sheetId="137" r:id="rId54"/>
    <sheet name="#33970搪胶小鸭子" sheetId="141" r:id="rId55"/>
    <sheet name="#46113 14&quot;史迪仔" sheetId="46" r:id="rId56"/>
    <sheet name="#46440 6款桶装系列 " sheetId="127" state="hidden" r:id="rId57"/>
    <sheet name="#46919米妮系列" sheetId="106" state="hidden" r:id="rId58"/>
    <sheet name="#46918 米奇老鼠系列 " sheetId="105" r:id="rId59"/>
    <sheet name="#46496米妮系列" sheetId="103" r:id="rId60"/>
    <sheet name="#46911蜘蛛侠系列" sheetId="118" state="hidden" r:id="rId61"/>
    <sheet name="#46462史迪仔系列" sheetId="104" r:id="rId62"/>
    <sheet name="#46134 海洋奇缘系列" sheetId="37" r:id="rId63"/>
    <sheet name="#46133 小美人鱼系列" sheetId="42" r:id="rId64"/>
    <sheet name="#46132 赛车总动员系列" sheetId="41" r:id="rId65"/>
    <sheet name="#46099 米奇老鼠系列" sheetId="40" r:id="rId66"/>
    <sheet name="#46097 小熊维尼历险记系列" sheetId="39" r:id="rId67"/>
    <sheet name="#46094 漫威系列" sheetId="38" r:id="rId68"/>
    <sheet name="#46092 玩具总动员系列" sheetId="36" r:id="rId69"/>
  </sheets>
  <definedNames>
    <definedName name="_xlnm._FilterDatabase" localSheetId="0" hidden="1">'#33835 小搪胶鸭子 '!$A$2:$BK$4</definedName>
    <definedName name="_xlnm._FilterDatabase" localSheetId="1" hidden="1">'#11839 磁铁肩膀史迪仔'!$A$3:$Z$13</definedName>
    <definedName name="_xlnm._FilterDatabase" localSheetId="2" hidden="1">'#14265 匙扣系列6款'!$A$3:$AF$27</definedName>
    <definedName name="_xlnm._FilterDatabase" localSheetId="3" hidden="1">'#27694 侏罗纪棘龙'!$A$3:$Y$4</definedName>
    <definedName name="_xlnm._FilterDatabase" localSheetId="4" hidden="1">'#28465 14寸动物'!$A$3:$AB$31</definedName>
    <definedName name="_xlnm._FilterDatabase" localSheetId="5" hidden="1">'#75280 搪胶公仔'!$A$3:$AA$16</definedName>
    <definedName name="_xlnm._FilterDatabase" localSheetId="6" hidden="1">'#25250肩膀磁铁公仔'!$A$2:$AA$4</definedName>
    <definedName name="_xlnm._FilterDatabase" localSheetId="8" hidden="1">'#14245 肩膀磁铁公仔'!$A$2:$AD$4</definedName>
    <definedName name="_xlnm._FilterDatabase" localSheetId="9" hidden="1">'#14225 肩膀磁铁公仔'!$A$2:$AH$14</definedName>
    <definedName name="_xlnm._FilterDatabase" localSheetId="10" hidden="1">'#82165肩膀磁铁海棉宝宝'!$A$3:$AA$11</definedName>
    <definedName name="_xlnm._FilterDatabase" localSheetId="11" hidden="1">'#11369 投影米奇'!$A$3:$AB$105</definedName>
    <definedName name="_xlnm._FilterDatabase" localSheetId="12" hidden="1">'#21150 六款豆袋系列'!$A$3:$AD$20</definedName>
    <definedName name="_xlnm._FilterDatabase" localSheetId="13" hidden="1">'#11356毯子系列8款'!$A$2:$IY$11</definedName>
    <definedName name="_xlnm._FilterDatabase" localSheetId="14" hidden="1">'#12369摇手米奇 '!$A$3:$X$41</definedName>
    <definedName name="_xlnm._FilterDatabase" localSheetId="15" hidden="1">'#12125爬爬米奇米妮减价版本'!$A$3:$AC$21</definedName>
    <definedName name="_xlnm._FilterDatabase" localSheetId="16" hidden="1">'#14745两款坐姿米奇米妮'!$A$3:$AA$33</definedName>
    <definedName name="_xlnm._FilterDatabase" localSheetId="17" hidden="1">'#88188 背包狗'!$A$3:$Z$32</definedName>
    <definedName name="_xlnm._FilterDatabase" localSheetId="18" hidden="1">'#28472 11" 浅黄色狮子'!$A$3:$Y$43</definedName>
    <definedName name="_xlnm._FilterDatabase" localSheetId="19" hidden="1">'#28483 振动球'!$A$3:$AA$120</definedName>
    <definedName name="_xlnm._FilterDatabase" localSheetId="20" hidden="1">'#28481 骰子'!$A$3:$AJ$97</definedName>
    <definedName name="_xlnm._FilterDatabase" localSheetId="21" hidden="1">'#28458 五款硅胶手感球'!$A$3:$AE$38</definedName>
    <definedName name="_xlnm._FilterDatabase" localSheetId="22" hidden="1">'#75280 3款搪胶公仔'!$A$3:$AB$15</definedName>
    <definedName name="_xlnm._FilterDatabase" localSheetId="23" hidden="1">'#33429 搪胶小鸭子系列'!$A$3:$AL$13</definedName>
    <definedName name="_xlnm._FilterDatabase" localSheetId="24" hidden="1">'#33920 搪胶7款'!$A$3:$AG$9</definedName>
    <definedName name="_xlnm._FilterDatabase" localSheetId="25" hidden="1">'#33782 小搪胶鸭子'!$A$3:$AJ$22</definedName>
    <definedName name="_xlnm._FilterDatabase" localSheetId="26" hidden="1">'#33454 小搪胶鸭子'!$A$3:$AJ$57</definedName>
    <definedName name="_xlnm._FilterDatabase" localSheetId="27" hidden="1">'#33410 小搪胶鸭子'!$A$3:$CR$12</definedName>
    <definedName name="_xlnm._FilterDatabase" localSheetId="28" hidden="1">'#33430 小鸭子'!$A$4:$AI$10</definedName>
    <definedName name="_xlnm._FilterDatabase" localSheetId="29" hidden="1">'#33487 盲盒小鸭子'!$A$3:$AV$11</definedName>
    <definedName name="_xlnm._FilterDatabase" localSheetId="30" hidden="1">'#33776 盲盒小鸭子'!$A$3:$AV$10</definedName>
    <definedName name="_xlnm._FilterDatabase" localSheetId="31" hidden="1">'#33490 搪胶小鸭子'!$A$3:$BH$55</definedName>
    <definedName name="_xlnm._FilterDatabase" localSheetId="32" hidden="1">'#33475 搪胶小鸭子'!$A$4:$BJ$87</definedName>
    <definedName name="_xlnm._FilterDatabase" localSheetId="33" hidden="1">'#33813 搪胶7款'!$A$3:$AH$15</definedName>
    <definedName name="_xlnm._FilterDatabase" localSheetId="34" hidden="1">'#33812 搪胶5款'!$A$3:$AD$19</definedName>
    <definedName name="_xlnm._FilterDatabase" localSheetId="35" hidden="1">'#33808 搪胶8款'!$A$3:$AI$20</definedName>
    <definedName name="_xlnm._FilterDatabase" localSheetId="36" hidden="1">'#33807 搪胶8款'!$A$3:$AI$9</definedName>
    <definedName name="_xlnm._FilterDatabase" localSheetId="37" hidden="1">'#送RR 小鸭子'!$A$3:$Y$193</definedName>
    <definedName name="_xlnm._FilterDatabase" localSheetId="38" hidden="1">'#12772迪斯尼搪胶鸭子'!$A$2:$AC$7</definedName>
    <definedName name="_xlnm._FilterDatabase" localSheetId="39" hidden="1">'#33735小搪胶鸭子'!$A$3:$AC$23</definedName>
    <definedName name="_xlnm._FilterDatabase" localSheetId="40" hidden="1">'#33465 W1+W2+W3+W4+W5+W6'!$A$5:$BD$149</definedName>
    <definedName name="_xlnm._FilterDatabase" localSheetId="41" hidden="1">'#33658 纽约系列 '!$A$4:$X$15</definedName>
    <definedName name="_xlnm._FilterDatabase" localSheetId="42" hidden="1">'#33708 星战系列 '!$A$4:$X$9</definedName>
    <definedName name="_xlnm._FilterDatabase" localSheetId="43" hidden="1">'#33853 情人节系列'!$A$4:$X$24</definedName>
    <definedName name="_xlnm._FilterDatabase" localSheetId="44" hidden="1">'#33415 小搪胶鸭子系列13款'!$A$3:$AK$28</definedName>
    <definedName name="_xlnm._FilterDatabase" localSheetId="45" hidden="1">'#33438 夏季小鸭系列'!$A$3:$AB$6</definedName>
    <definedName name="_xlnm._FilterDatabase" localSheetId="46" hidden="1">'#33769 小搪胶鸭子'!$A$3:$AB$5</definedName>
    <definedName name="_xlnm._FilterDatabase" localSheetId="47" hidden="1">'#26850华纳小鸭子超人系列'!$A$3:$AE$15</definedName>
    <definedName name="_xlnm._FilterDatabase" localSheetId="48" hidden="1">'#26870华纳小鸭子恐怖系列'!$A$2:$AE$9</definedName>
    <definedName name="_xlnm._FilterDatabase" localSheetId="49" hidden="1">'#33865 搪胶小鸭子'!$A$3:$AI$12</definedName>
    <definedName name="_xlnm._FilterDatabase" localSheetId="50" hidden="1">'#33610小搪胶鸭子'!$A$2:$AA$19</definedName>
    <definedName name="_xlnm._FilterDatabase" localSheetId="51" hidden="1">'#33670 搪胶小鸭子 '!$A$3:$AG$13</definedName>
    <definedName name="_xlnm._FilterDatabase" localSheetId="52" hidden="1">'#33745搪胶小鸭子 '!$A$3:$AG$12</definedName>
    <definedName name="_xlnm._FilterDatabase" localSheetId="53" hidden="1">'#33825搪胶小鸭子 '!$A$3:$AG$12</definedName>
    <definedName name="_xlnm._FilterDatabase" localSheetId="54" hidden="1">'#33970搪胶小鸭子'!$A$3:$AN$12</definedName>
    <definedName name="_xlnm._FilterDatabase" localSheetId="55" hidden="1">'#46113 14"史迪仔'!$A$3:$Y$20</definedName>
    <definedName name="_xlnm._FilterDatabase" localSheetId="56" hidden="1">'#46440 6款桶装系列 '!$A$3:$BD$7</definedName>
    <definedName name="_xlnm._FilterDatabase" localSheetId="57" hidden="1">'#46919米妮系列'!$A$3:$AF$34</definedName>
    <definedName name="_xlnm._FilterDatabase" localSheetId="58" hidden="1">'#46918 米奇老鼠系列 '!$A$3:$AE$39</definedName>
    <definedName name="_xlnm._FilterDatabase" localSheetId="59" hidden="1">'#46496米妮系列'!$A$3:$AF$37</definedName>
    <definedName name="_xlnm._FilterDatabase" localSheetId="60" hidden="1">'#46911蜘蛛侠系列'!$A$3:$AF$9</definedName>
    <definedName name="_xlnm._FilterDatabase" localSheetId="61" hidden="1">'#46462史迪仔系列'!$A$3:$AF$34</definedName>
    <definedName name="_xlnm._FilterDatabase" localSheetId="62" hidden="1">'#46134 海洋奇缘系列'!$A$3:$AF$29</definedName>
    <definedName name="_xlnm._FilterDatabase" localSheetId="63" hidden="1">'#46133 小美人鱼系列'!$A$3:$AF$28</definedName>
    <definedName name="_xlnm._FilterDatabase" localSheetId="64" hidden="1">'#46132 赛车总动员系列'!$A$3:$AG$59</definedName>
    <definedName name="_xlnm._FilterDatabase" localSheetId="65" hidden="1">'#46099 米奇老鼠系列'!$A$3:$AF$43</definedName>
    <definedName name="_xlnm._FilterDatabase" localSheetId="66" hidden="1">'#46097 小熊维尼历险记系列'!$A$3:$AF$47</definedName>
    <definedName name="_xlnm._FilterDatabase" localSheetId="67" hidden="1">'#46094 漫威系列'!$A$3:$AF$24</definedName>
    <definedName name="_xlnm._FilterDatabase" localSheetId="68" hidden="1">'#46092 玩具总动员系列'!$A$3:$AG$69</definedName>
    <definedName name="_xlnm.Print_Area" localSheetId="13">'#11356毯子系列8款'!$A$1:$AD$11</definedName>
    <definedName name="_xlnm.Print_Area" localSheetId="11">'#11369 投影米奇'!$A$1:$Y$97</definedName>
    <definedName name="_xlnm.Print_Area" localSheetId="1">'#11839 磁铁肩膀史迪仔'!$A$1:$Y$13</definedName>
    <definedName name="_xlnm.Print_Area" localSheetId="15">'#12125爬爬米奇米妮减价版本'!$A$1:$AB$27</definedName>
    <definedName name="_xlnm.Print_Area" localSheetId="14">'#12369摇手米奇 '!$A$1:$W$41</definedName>
    <definedName name="_xlnm.Print_Area" localSheetId="38">'#12772迪斯尼搪胶鸭子'!$A$1:$AB$13</definedName>
    <definedName name="_xlnm.Print_Area" localSheetId="9">'#14225 肩膀磁铁公仔'!$A$1:$AE$24</definedName>
    <definedName name="_xlnm.Print_Area" localSheetId="8">'#14245 肩膀磁铁公仔'!$A$1:$AC$19</definedName>
    <definedName name="_xlnm.Print_Area" localSheetId="2">'#14265 匙扣系列6款'!$A$1:$AE$34</definedName>
    <definedName name="_xlnm.Print_Area" localSheetId="16">'#14745两款坐姿米奇米妮'!$A$1:$Z$33</definedName>
    <definedName name="_xlnm.Print_Area" localSheetId="12">'#21150 六款豆袋系列'!$A$1:$AC$20</definedName>
    <definedName name="_xlnm.Print_Area" localSheetId="6">'#25250肩膀磁铁公仔'!$A$1:$Z$10</definedName>
    <definedName name="_xlnm.Print_Area" localSheetId="47">'#26850华纳小鸭子超人系列'!$A$1:$AC$20</definedName>
    <definedName name="_xlnm.Print_Area" localSheetId="48">'#26870华纳小鸭子恐怖系列'!$A$1:$AC$14</definedName>
    <definedName name="_xlnm.Print_Area" localSheetId="3">'#27694 侏罗纪棘龙'!$A$1:$X$9</definedName>
    <definedName name="_xlnm.Print_Area" localSheetId="21">'#28458 五款硅胶手感球'!$A$1:$AD$38</definedName>
    <definedName name="_xlnm.Print_Area" localSheetId="4">'#28465 14寸动物'!$A$1:$AA$25</definedName>
    <definedName name="_xlnm.Print_Area" localSheetId="18">'#28472 11" 浅黄色狮子'!$A$1:$X$35</definedName>
    <definedName name="_xlnm.Print_Area" localSheetId="20">'#28481 骰子'!$A$1:$AH$97</definedName>
    <definedName name="_xlnm.Print_Area" localSheetId="19">'#28483 振动球'!$A$1:$Y$120</definedName>
    <definedName name="_xlnm.Print_Area" localSheetId="27">'#33410 小搪胶鸭子'!$A$1:$CQ$41</definedName>
    <definedName name="_xlnm.Print_Area" localSheetId="44">'#33415 小搪胶鸭子系列13款'!$A$1:$AJ$24</definedName>
    <definedName name="_xlnm.Print_Area" localSheetId="23">'#33429 搪胶小鸭子系列'!$A$1:$AK$13</definedName>
    <definedName name="_xlnm.Print_Area" localSheetId="28">'#33430 小鸭子'!$A$1:$AH$15</definedName>
    <definedName name="_xlnm.Print_Area" localSheetId="45">'#33438 夏季小鸭系列'!$A$1:$Z$12</definedName>
    <definedName name="_xlnm.Print_Area" localSheetId="26">'#33454 小搪胶鸭子'!$A$1:$AI$58</definedName>
    <definedName name="_xlnm.Print_Area" localSheetId="40">'#33465 W1+W2+W3+W4+W5+W6'!$A$1:$BC$149</definedName>
    <definedName name="_xlnm.Print_Area" localSheetId="32">'#33475 搪胶小鸭子'!$A$1:$BI$84</definedName>
    <definedName name="_xlnm.Print_Area" localSheetId="29">'#33487 盲盒小鸭子'!$A$1:$AU$25</definedName>
    <definedName name="_xlnm.Print_Area" localSheetId="31">'#33490 搪胶小鸭子'!$A$1:$BE$68</definedName>
    <definedName name="_xlnm.Print_Area" localSheetId="50">'#33610小搪胶鸭子'!$A$1:$Y$24</definedName>
    <definedName name="_xlnm.Print_Area" localSheetId="41">'#33658 纽约系列 '!$A$1:$X$26</definedName>
    <definedName name="_xlnm.Print_Area" localSheetId="51">'#33670 搪胶小鸭子 '!$A$1:$AF$12</definedName>
    <definedName name="_xlnm.Print_Area" localSheetId="42">'#33708 星战系列 '!$A$1:$X$14</definedName>
    <definedName name="_xlnm.Print_Area" localSheetId="39">'#33735小搪胶鸭子'!$A$1:$AB$23</definedName>
    <definedName name="_xlnm.Print_Area" localSheetId="52">'#33745搪胶小鸭子 '!$A$1:$AF$12</definedName>
    <definedName name="_xlnm.Print_Area" localSheetId="46">'#33769 小搪胶鸭子'!$A$1:$Z$12</definedName>
    <definedName name="_xlnm.Print_Area" localSheetId="30">'#33776 盲盒小鸭子'!$A$1:$AU$24</definedName>
    <definedName name="_xlnm.Print_Area" localSheetId="25">'#33782 小搪胶鸭子'!$A$1:$AI$23</definedName>
    <definedName name="_xlnm.Print_Area" localSheetId="36">'#33807 搪胶8款'!$A$1:$AF$22</definedName>
    <definedName name="_xlnm.Print_Area" localSheetId="35">'#33808 搪胶8款'!$A$1:$AF$28</definedName>
    <definedName name="_xlnm.Print_Area" localSheetId="34">'#33812 搪胶5款'!$A$1:$AC$19</definedName>
    <definedName name="_xlnm.Print_Area" localSheetId="33">'#33813 搪胶7款'!$A$1:$AE$23</definedName>
    <definedName name="_xlnm.Print_Area" localSheetId="53">'#33825搪胶小鸭子 '!$A$1:$AF$12</definedName>
    <definedName name="_xlnm.Print_Area" localSheetId="0">'#33835 小搪胶鸭子 '!$A$1:$BJ$32</definedName>
    <definedName name="_xlnm.Print_Area" localSheetId="43">'#33853 情人节系列'!$A$1:$X$29</definedName>
    <definedName name="_xlnm.Print_Area" localSheetId="49">'#33865 搪胶小鸭子'!$A$1:$AF$20</definedName>
    <definedName name="_xlnm.Print_Area" localSheetId="24">'#33920 搪胶7款'!$A$1:$AD$22</definedName>
    <definedName name="_xlnm.Print_Area" localSheetId="68">'#46092 玩具总动员系列'!$A$1:$AE$67</definedName>
    <definedName name="_xlnm.Print_Area" localSheetId="67">'#46094 漫威系列'!$A$1:$AD$21</definedName>
    <definedName name="_xlnm.Print_Area" localSheetId="66">'#46097 小熊维尼历险记系列'!$A$1:$AE$47</definedName>
    <definedName name="_xlnm.Print_Area" localSheetId="65">'#46099 米奇老鼠系列'!$A$1:$AD$43</definedName>
    <definedName name="_xlnm.Print_Area" localSheetId="55">'#46113 14"史迪仔'!$A$1:$X$15</definedName>
    <definedName name="_xlnm.Print_Area" localSheetId="64">'#46132 赛车总动员系列'!$A$1:$AE$59</definedName>
    <definedName name="_xlnm.Print_Area" localSheetId="63">'#46133 小美人鱼系列'!$A$1:$AD$28</definedName>
    <definedName name="_xlnm.Print_Area" localSheetId="62">'#46134 海洋奇缘系列'!$A$1:$AD$29</definedName>
    <definedName name="_xlnm.Print_Area" localSheetId="56">'#46440 6款桶装系列 '!$A$1:$BC$26</definedName>
    <definedName name="_xlnm.Print_Area" localSheetId="61">'#46462史迪仔系列'!$A$1:$AD$39</definedName>
    <definedName name="_xlnm.Print_Area" localSheetId="59">'#46496米妮系列'!$A$1:$AD$32</definedName>
    <definedName name="_xlnm.Print_Area" localSheetId="60">'#46911蜘蛛侠系列'!$A$1:$AD$14</definedName>
    <definedName name="_xlnm.Print_Area" localSheetId="58">'#46918 米奇老鼠系列 '!$A$1:$AD$39</definedName>
    <definedName name="_xlnm.Print_Area" localSheetId="57">'#46919米妮系列'!$A$1:$AD$34</definedName>
    <definedName name="_xlnm.Print_Area" localSheetId="7">'#50530 肩胶磁铁公仔'!$A$1:$Z$23</definedName>
    <definedName name="_xlnm.Print_Area" localSheetId="22">'#75280 3款搪胶公仔'!$A$1:$AA$20</definedName>
    <definedName name="_xlnm.Print_Area" localSheetId="5">'#75280 搪胶公仔'!$A$1:$Z$21</definedName>
    <definedName name="_xlnm.Print_Area" localSheetId="10">'#82165肩膀磁铁海棉宝宝'!$A$1:$AA$17</definedName>
    <definedName name="_xlnm.Print_Area" localSheetId="17">'#88188 背包狗'!$A$1:$X$32</definedName>
    <definedName name="_xlnm.Print_Area" localSheetId="37">'#送RR 小鸭子'!$A$1:$W$193</definedName>
    <definedName name="_xlnm.Print_Titles" localSheetId="13">'#11356毯子系列8款'!$1:$3</definedName>
    <definedName name="_xlnm.Print_Titles" localSheetId="11">'#11369 投影米奇'!$1:$3</definedName>
    <definedName name="_xlnm.Print_Titles" localSheetId="15">'#12125爬爬米奇米妮减价版本'!$1:$3</definedName>
    <definedName name="_xlnm.Print_Titles" localSheetId="14">'#12369摇手米奇 '!$1:$3</definedName>
    <definedName name="_xlnm.Print_Titles" localSheetId="38">'#12772迪斯尼搪胶鸭子'!$1:$3</definedName>
    <definedName name="_xlnm.Print_Titles" localSheetId="8">'#14245 肩膀磁铁公仔'!$1:$3</definedName>
    <definedName name="_xlnm.Print_Titles" localSheetId="16">'#14745两款坐姿米奇米妮'!$1:$3</definedName>
    <definedName name="_xlnm.Print_Titles" localSheetId="47">'#26850华纳小鸭子超人系列'!$1:$3</definedName>
    <definedName name="_xlnm.Print_Titles" localSheetId="48">'#26870华纳小鸭子恐怖系列'!$1:$3</definedName>
    <definedName name="_xlnm.Print_Titles" localSheetId="3">'#27694 侏罗纪棘龙'!$1:$3</definedName>
    <definedName name="_xlnm.Print_Titles" localSheetId="21">'#28458 五款硅胶手感球'!$1:$3</definedName>
    <definedName name="_xlnm.Print_Titles" localSheetId="4">'#28465 14寸动物'!$1:$3</definedName>
    <definedName name="_xlnm.Print_Titles" localSheetId="18">'#28472 11" 浅黄色狮子'!$1:$3</definedName>
    <definedName name="_xlnm.Print_Titles" localSheetId="20">'#28481 骰子'!$1:$3</definedName>
    <definedName name="_xlnm.Print_Titles" localSheetId="19">'#28483 振动球'!$1:$3</definedName>
    <definedName name="_xlnm.Print_Titles" localSheetId="44">'#33415 小搪胶鸭子系列13款'!$1:$3</definedName>
    <definedName name="_xlnm.Print_Titles" localSheetId="23">'#33429 搪胶小鸭子系列'!$1:$3</definedName>
    <definedName name="_xlnm.Print_Titles" localSheetId="40">'#33465 W1+W2+W3+W4+W5+W6'!$1:$5</definedName>
    <definedName name="_xlnm.Print_Titles" localSheetId="32">'#33475 搪胶小鸭子'!$1:$4</definedName>
    <definedName name="_xlnm.Print_Titles" localSheetId="31">'#33490 搪胶小鸭子'!$1:$3</definedName>
    <definedName name="_xlnm.Print_Titles" localSheetId="50">'#33610小搪胶鸭子'!$1:$3</definedName>
    <definedName name="_xlnm.Print_Titles" localSheetId="41">'#33658 纽约系列 '!$1:$4</definedName>
    <definedName name="_xlnm.Print_Titles" localSheetId="51">'#33670 搪胶小鸭子 '!$1:$3</definedName>
    <definedName name="_xlnm.Print_Titles" localSheetId="42">'#33708 星战系列 '!$1:$4</definedName>
    <definedName name="_xlnm.Print_Titles" localSheetId="39">'#33735小搪胶鸭子'!$1:$3</definedName>
    <definedName name="_xlnm.Print_Titles" localSheetId="52">'#33745搪胶小鸭子 '!$1:$3</definedName>
    <definedName name="_xlnm.Print_Titles" localSheetId="36">'#33807 搪胶8款'!$1:$3</definedName>
    <definedName name="_xlnm.Print_Titles" localSheetId="35">'#33808 搪胶8款'!$1:$3</definedName>
    <definedName name="_xlnm.Print_Titles" localSheetId="34">'#33812 搪胶5款'!$1:$3</definedName>
    <definedName name="_xlnm.Print_Titles" localSheetId="33">'#33813 搪胶7款'!$1:$3</definedName>
    <definedName name="_xlnm.Print_Titles" localSheetId="53">'#33825搪胶小鸭子 '!$1:$3</definedName>
    <definedName name="_xlnm.Print_Titles" localSheetId="43">'#33853 情人节系列'!$1:$4</definedName>
    <definedName name="_xlnm.Print_Titles" localSheetId="49">'#33865 搪胶小鸭子'!$1:$3</definedName>
    <definedName name="_xlnm.Print_Titles" localSheetId="24">'#33920 搪胶7款'!$1:$3</definedName>
    <definedName name="_xlnm.Print_Titles" localSheetId="68">'#46092 玩具总动员系列'!$1:$3</definedName>
    <definedName name="_xlnm.Print_Titles" localSheetId="67">'#46094 漫威系列'!$1:$3</definedName>
    <definedName name="_xlnm.Print_Titles" localSheetId="65">'#46099 米奇老鼠系列'!$1:$3</definedName>
    <definedName name="_xlnm.Print_Titles" localSheetId="55">'#46113 14"史迪仔'!$1:$3</definedName>
    <definedName name="_xlnm.Print_Titles" localSheetId="64">'#46132 赛车总动员系列'!$1:$3</definedName>
    <definedName name="_xlnm.Print_Titles" localSheetId="62">'#46134 海洋奇缘系列'!$1:$3</definedName>
    <definedName name="_xlnm.Print_Titles" localSheetId="61">'#46462史迪仔系列'!$1:$3</definedName>
    <definedName name="_xlnm.Print_Titles" localSheetId="59">'#46496米妮系列'!$1:$3</definedName>
    <definedName name="_xlnm.Print_Titles" localSheetId="60">'#46911蜘蛛侠系列'!$1:$3</definedName>
    <definedName name="_xlnm.Print_Titles" localSheetId="58">'#46918 米奇老鼠系列 '!$1:$3</definedName>
    <definedName name="_xlnm.Print_Titles" localSheetId="57">'#46919米妮系列'!$1:$3</definedName>
    <definedName name="_xlnm.Print_Titles" localSheetId="22">'#75280 3款搪胶公仔'!$1:$3</definedName>
    <definedName name="_xlnm.Print_Titles" localSheetId="5">'#75280 搪胶公仔'!$1:$3</definedName>
    <definedName name="_xlnm.Print_Titles" localSheetId="17">'#88188 背包狗'!$1:$3</definedName>
    <definedName name="_xlnm.Print_Titles" localSheetId="37">'#送RR 小鸭子'!$1:$3</definedName>
    <definedName name="_xlnm.Print_Area" localSheetId="54">'#33970搪胶小鸭子'!$A$1:$AL$24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COUTURE</author>
  </authors>
  <commentList>
    <comment ref="J1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2025年余664pcs,实际余下400pcs</t>
        </r>
      </text>
    </comment>
  </commentList>
</comments>
</file>

<file path=xl/comments2.xml><?xml version="1.0" encoding="utf-8"?>
<comments xmlns="http://schemas.openxmlformats.org/spreadsheetml/2006/main">
  <authors>
    <author>COUTURE</author>
  </authors>
  <commentList>
    <comment ref="Z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白色贴纸1/8寄</t>
        </r>
      </text>
    </comment>
    <comment ref="Z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白色贴纸1/8寄
</t>
        </r>
      </text>
    </comment>
  </commentList>
</comments>
</file>

<file path=xl/comments3.xml><?xml version="1.0" encoding="utf-8"?>
<comments xmlns="http://schemas.openxmlformats.org/spreadsheetml/2006/main">
  <authors>
    <author>COUTURE</author>
  </authors>
  <commentList>
    <comment ref="I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2025余下2286</t>
        </r>
      </text>
    </comment>
  </commentList>
</comments>
</file>

<file path=xl/comments4.xml><?xml version="1.0" encoding="utf-8"?>
<comments xmlns="http://schemas.openxmlformats.org/spreadsheetml/2006/main">
  <authors>
    <author>COUTURE</author>
  </authors>
  <commentList>
    <comment ref="V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11/14订</t>
        </r>
      </text>
    </comment>
    <comment ref="V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11/14订</t>
        </r>
      </text>
    </comment>
    <comment ref="V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11/14订</t>
        </r>
      </text>
    </comment>
    <comment ref="V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11/14订</t>
        </r>
      </text>
    </comment>
    <comment ref="V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11/14订</t>
        </r>
      </text>
    </comment>
    <comment ref="V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V1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V1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V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V1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V1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V1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V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V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12/19订
</t>
        </r>
      </text>
    </comment>
    <comment ref="L2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2025余下25920</t>
        </r>
      </text>
    </comment>
    <comment ref="M2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2025余下1296</t>
        </r>
      </text>
    </comment>
    <comment ref="N2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2025余下1584</t>
        </r>
      </text>
    </comment>
  </commentList>
</comments>
</file>

<file path=xl/comments5.xml><?xml version="1.0" encoding="utf-8"?>
<comments xmlns="http://schemas.openxmlformats.org/spreadsheetml/2006/main">
  <authors>
    <author>COUTURE</author>
  </authors>
  <commentList>
    <comment ref="K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2025余下2500</t>
        </r>
      </text>
    </comment>
    <comment ref="L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2025余下1500</t>
        </r>
      </text>
    </comment>
  </commentList>
</comments>
</file>

<file path=xl/comments6.xml><?xml version="1.0" encoding="utf-8"?>
<comments xmlns="http://schemas.openxmlformats.org/spreadsheetml/2006/main">
  <authors>
    <author>COUTURE</author>
  </authors>
  <commentList>
    <comment ref="K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2025年余数2948</t>
        </r>
      </text>
    </comment>
    <comment ref="M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2025年余数1474</t>
        </r>
      </text>
    </comment>
    <comment ref="N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2025年余数1474</t>
        </r>
      </text>
    </comment>
  </commentList>
</comments>
</file>

<file path=xl/comments7.xml><?xml version="1.0" encoding="utf-8"?>
<comments xmlns="http://schemas.openxmlformats.org/spreadsheetml/2006/main">
  <authors>
    <author>COUTURE</author>
  </authors>
  <commentList>
    <comment ref="G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9/20</t>
        </r>
      </text>
    </comment>
    <comment ref="AA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9/27</t>
        </r>
      </text>
    </comment>
    <comment ref="G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9/22</t>
        </r>
      </text>
    </comment>
    <comment ref="AA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9/27</t>
        </r>
      </text>
    </comment>
    <comment ref="L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2025余下1992</t>
        </r>
      </text>
    </comment>
    <comment ref="M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2025余下2016</t>
        </r>
      </text>
    </comment>
    <comment ref="N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2025余下12928</t>
        </r>
      </text>
    </comment>
    <comment ref="O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2025余下744</t>
        </r>
      </text>
    </comment>
    <comment ref="P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2025余下6008</t>
        </r>
      </text>
    </comment>
  </commentList>
</comments>
</file>

<file path=xl/comments8.xml><?xml version="1.0" encoding="utf-8"?>
<comments xmlns="http://schemas.openxmlformats.org/spreadsheetml/2006/main">
  <authors>
    <author>Susan</author>
    <author>COUTURE</author>
    <author>WQF</author>
  </authors>
  <commentList>
    <comment ref="Q2" authorId="0">
      <text>
        <r>
          <rPr>
            <b/>
            <sz val="9"/>
            <rFont val="宋体"/>
            <charset val="134"/>
          </rPr>
          <t xml:space="preserve">订完17580套扎带
</t>
        </r>
      </text>
    </comment>
    <comment ref="U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6/13</t>
        </r>
      </text>
    </comment>
    <comment ref="Y4" authorId="2">
      <text>
        <r>
          <rPr>
            <b/>
            <sz val="9"/>
            <rFont val="宋体"/>
            <charset val="134"/>
          </rPr>
          <t xml:space="preserve">4/15更换新PO 
6NYMYA9L </t>
        </r>
      </text>
    </comment>
    <comment ref="P6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说明书用库存</t>
        </r>
      </text>
    </comment>
    <comment ref="T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P7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说明书用库存</t>
        </r>
      </text>
    </comment>
    <comment ref="T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P8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说明书用库存</t>
        </r>
      </text>
    </comment>
    <comment ref="T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P9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说明书用库存</t>
        </r>
      </text>
    </comment>
    <comment ref="T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P10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说明书1140PCS用库存，余数11/22订四川</t>
        </r>
      </text>
    </comment>
    <comment ref="T1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T1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T1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T1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T1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T1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T1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11/14已订</t>
        </r>
      </text>
    </comment>
    <comment ref="P20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封闭盒用库存，说明书11/22订四川</t>
        </r>
      </text>
    </comment>
    <comment ref="T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胶袋已订</t>
        </r>
      </text>
    </comment>
    <comment ref="N24" authorId="2">
      <text>
        <r>
          <rPr>
            <sz val="9"/>
            <rFont val="宋体"/>
            <charset val="134"/>
          </rPr>
          <t xml:space="preserve">
3/7订3K</t>
        </r>
      </text>
    </comment>
    <comment ref="Q2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订3K套</t>
        </r>
      </text>
    </comment>
    <comment ref="AA24" authorId="2">
      <text>
        <r>
          <rPr>
            <b/>
            <sz val="9"/>
            <rFont val="宋体"/>
            <charset val="134"/>
          </rPr>
          <t>前单余66个</t>
        </r>
      </text>
    </comment>
    <comment ref="N32" authorId="2">
      <text>
        <r>
          <rPr>
            <b/>
            <sz val="9"/>
            <rFont val="宋体"/>
            <charset val="134"/>
          </rPr>
          <t>3/27订 3K</t>
        </r>
      </text>
    </comment>
    <comment ref="AA32" authorId="2">
      <text>
        <r>
          <rPr>
            <b/>
            <sz val="9"/>
            <rFont val="宋体"/>
            <charset val="134"/>
          </rPr>
          <t>前单余18个</t>
        </r>
        <r>
          <rPr>
            <sz val="9"/>
            <rFont val="宋体"/>
            <charset val="134"/>
          </rPr>
          <t xml:space="preserve">
</t>
        </r>
      </text>
    </comment>
    <comment ref="T37" authorId="2">
      <text>
        <r>
          <rPr>
            <sz val="9"/>
            <rFont val="宋体"/>
            <charset val="134"/>
          </rPr>
          <t xml:space="preserve">贴纸+说明书，4/21订
</t>
        </r>
      </text>
    </comment>
    <comment ref="N40" authorId="2">
      <text>
        <r>
          <rPr>
            <sz val="9"/>
            <rFont val="宋体"/>
            <charset val="134"/>
          </rPr>
          <t xml:space="preserve">
4/10订5730套</t>
        </r>
      </text>
    </comment>
    <comment ref="AA40" authorId="2">
      <text>
        <r>
          <rPr>
            <sz val="9"/>
            <rFont val="宋体"/>
            <charset val="134"/>
          </rPr>
          <t xml:space="preserve">前单余318个
</t>
        </r>
      </text>
    </comment>
    <comment ref="P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用POHK-26-08095</t>
        </r>
      </text>
    </comment>
    <comment ref="Q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用POHK-26-08095</t>
        </r>
      </text>
    </comment>
    <comment ref="T44" authorId="2">
      <text>
        <r>
          <rPr>
            <b/>
            <sz val="9"/>
            <rFont val="宋体"/>
            <charset val="134"/>
          </rPr>
          <t>电池贴纸，4/27订</t>
        </r>
      </text>
    </comment>
    <comment ref="T6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电池贴纸，6/12订</t>
        </r>
      </text>
    </comment>
    <comment ref="AA64" authorId="2">
      <text>
        <r>
          <rPr>
            <b/>
            <sz val="9"/>
            <rFont val="宋体"/>
            <charset val="134"/>
          </rPr>
          <t>WQF:</t>
        </r>
        <r>
          <rPr>
            <sz val="9"/>
            <rFont val="宋体"/>
            <charset val="134"/>
          </rPr>
          <t xml:space="preserve">
09816下单100套，实际使用库存，下单的100套转到此张单使用</t>
        </r>
      </text>
    </comment>
    <comment ref="T8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电池贴纸+进口商贴纸+8L说明书： 7/20订</t>
        </r>
      </text>
    </comment>
    <comment ref="T8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电池贴纸+进口商贴纸+8L说明书： 7/20订
</t>
        </r>
      </text>
    </comment>
    <comment ref="T8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电池贴纸+进口商贴纸+8L说明书： 7/20订
</t>
        </r>
      </text>
    </comment>
    <comment ref="J95" authorId="2">
      <text>
        <r>
          <rPr>
            <b/>
            <sz val="9"/>
            <rFont val="宋体"/>
            <charset val="134"/>
          </rPr>
          <t>WQF:</t>
        </r>
        <r>
          <rPr>
            <sz val="9"/>
            <rFont val="宋体"/>
            <charset val="134"/>
          </rPr>
          <t xml:space="preserve">
2025年余下15708套+库存100套
</t>
        </r>
      </text>
    </comment>
  </commentList>
</comments>
</file>

<file path=xl/comments9.xml><?xml version="1.0" encoding="utf-8"?>
<comments xmlns="http://schemas.openxmlformats.org/spreadsheetml/2006/main">
  <authors>
    <author>Administrator</author>
    <author>COUTURE</author>
  </authors>
  <commentLis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Bo Peep 女孩</t>
        </r>
      </text>
    </comment>
    <comment ref="M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Ducky 鸭子</t>
        </r>
      </text>
    </comment>
    <comment ref="N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Bunny 兔子</t>
        </r>
      </text>
    </comment>
    <comment ref="O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Forky 叉</t>
        </r>
      </text>
    </comment>
    <comment ref="P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Buzz 巴斯</t>
        </r>
      </text>
    </comment>
    <comment ref="Q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Woody 牛仔</t>
        </r>
      </text>
    </comment>
    <comment ref="P1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3L吊牌12/23订购6K</t>
        </r>
      </text>
    </comment>
    <comment ref="Q1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3L吊牌12/23订购6K</t>
        </r>
      </text>
    </comment>
  </commentList>
</comments>
</file>

<file path=xl/comments10.xml><?xml version="1.0" encoding="utf-8"?>
<comments xmlns="http://schemas.openxmlformats.org/spreadsheetml/2006/main">
  <authors>
    <author>COUTURE</author>
  </authors>
  <commentList>
    <comment ref="K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2025余下846</t>
        </r>
      </text>
    </comment>
    <comment ref="L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2025余下1728</t>
        </r>
      </text>
    </comment>
  </commentList>
</comments>
</file>

<file path=xl/comments11.xml><?xml version="1.0" encoding="utf-8"?>
<comments xmlns="http://schemas.openxmlformats.org/spreadsheetml/2006/main">
  <authors>
    <author>WQF</author>
    <author>COUTURE</author>
  </authors>
  <commentList>
    <comment ref="R8" authorId="0">
      <text>
        <r>
          <rPr>
            <b/>
            <sz val="9"/>
            <rFont val="宋体"/>
            <charset val="134"/>
          </rPr>
          <t>贴纸 4/10订</t>
        </r>
      </text>
    </comment>
    <comment ref="R9" authorId="0">
      <text>
        <r>
          <rPr>
            <b/>
            <sz val="9"/>
            <rFont val="宋体"/>
            <charset val="134"/>
          </rPr>
          <t>贴纸 4/10订</t>
        </r>
      </text>
    </comment>
    <comment ref="R15" authorId="0">
      <text>
        <r>
          <rPr>
            <b/>
            <sz val="9"/>
            <rFont val="宋体"/>
            <charset val="134"/>
          </rPr>
          <t>电池贴纸，4/27订</t>
        </r>
      </text>
    </comment>
    <comment ref="R2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电池贴纸，6/12订</t>
        </r>
      </text>
    </comment>
    <comment ref="R33" authorId="1">
      <text>
        <r>
          <rPr>
            <sz val="9"/>
            <rFont val="宋体"/>
            <charset val="134"/>
          </rPr>
          <t xml:space="preserve">贴纸和说明书  8/21订
</t>
        </r>
      </text>
    </comment>
    <comment ref="R34" authorId="1">
      <text>
        <r>
          <rPr>
            <sz val="9"/>
            <rFont val="宋体"/>
            <charset val="134"/>
          </rPr>
          <t xml:space="preserve">贴纸和说明书  8/21订
</t>
        </r>
      </text>
    </comment>
    <comment ref="J3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2025余下1389</t>
        </r>
      </text>
    </comment>
  </commentList>
</comments>
</file>

<file path=xl/comments12.xml><?xml version="1.0" encoding="utf-8"?>
<comments xmlns="http://schemas.openxmlformats.org/spreadsheetml/2006/main">
  <authors>
    <author>COUTURE</author>
  </authors>
  <commentList>
    <comment ref="L2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2025余下2440</t>
        </r>
      </text>
    </comment>
    <comment ref="M2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2025余下2032</t>
        </r>
      </text>
    </comment>
    <comment ref="N2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2025余下3000</t>
        </r>
      </text>
    </comment>
  </commentList>
</comments>
</file>

<file path=xl/comments13.xml><?xml version="1.0" encoding="utf-8"?>
<comments xmlns="http://schemas.openxmlformats.org/spreadsheetml/2006/main">
  <authors>
    <author>COUTURE</author>
  </authors>
  <commentList>
    <comment ref="N1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14746-2400套
14747-3000套</t>
        </r>
      </text>
    </comment>
    <comment ref="L3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2025余下612</t>
        </r>
      </text>
    </comment>
    <comment ref="M3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2025余下1440</t>
        </r>
      </text>
    </comment>
  </commentList>
</comments>
</file>

<file path=xl/comments14.xml><?xml version="1.0" encoding="utf-8"?>
<comments xmlns="http://schemas.openxmlformats.org/spreadsheetml/2006/main">
  <authors>
    <author>COUTURE</author>
    <author>EVONNE</author>
  </authors>
  <commentList>
    <comment ref="S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库存400个，补240个RFID 12/19</t>
        </r>
      </text>
    </comment>
    <comment ref="S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 1/20订</t>
        </r>
      </text>
    </comment>
    <comment ref="S7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S9" authorId="0">
      <text>
        <r>
          <rPr>
            <sz val="9"/>
            <rFont val="宋体"/>
            <charset val="134"/>
          </rPr>
          <t>RFID贴纸：6/29订</t>
        </r>
      </text>
    </comment>
    <comment ref="S10" authorId="0">
      <text>
        <r>
          <rPr>
            <sz val="9"/>
            <rFont val="宋体"/>
            <charset val="134"/>
          </rPr>
          <t>RFID贴纸：6/29订</t>
        </r>
      </text>
    </comment>
    <comment ref="S11" authorId="0">
      <text>
        <r>
          <rPr>
            <sz val="9"/>
            <rFont val="宋体"/>
            <charset val="134"/>
          </rPr>
          <t>RFID贴纸：6/29订</t>
        </r>
      </text>
    </comment>
    <comment ref="S12" authorId="0">
      <text>
        <r>
          <rPr>
            <sz val="9"/>
            <rFont val="宋体"/>
            <charset val="134"/>
          </rPr>
          <t>RFID贴纸：6/29订</t>
        </r>
      </text>
    </comment>
    <comment ref="S13" authorId="0">
      <text>
        <r>
          <rPr>
            <sz val="9"/>
            <rFont val="宋体"/>
            <charset val="134"/>
          </rPr>
          <t>RFID贴纸：6/29订</t>
        </r>
      </text>
    </comment>
    <comment ref="S14" authorId="0">
      <text>
        <r>
          <rPr>
            <sz val="9"/>
            <rFont val="宋体"/>
            <charset val="134"/>
          </rPr>
          <t>RFID贴纸：6/29订</t>
        </r>
      </text>
    </comment>
    <comment ref="S15" authorId="0">
      <text>
        <r>
          <rPr>
            <sz val="9"/>
            <rFont val="宋体"/>
            <charset val="134"/>
          </rPr>
          <t>RFID贴纸：6/29订</t>
        </r>
      </text>
    </comment>
    <comment ref="S16" authorId="0">
      <text>
        <r>
          <rPr>
            <sz val="9"/>
            <rFont val="宋体"/>
            <charset val="134"/>
          </rPr>
          <t>RFID贴纸：6/29订</t>
        </r>
      </text>
    </comment>
    <comment ref="S17" authorId="0">
      <text>
        <r>
          <rPr>
            <sz val="9"/>
            <rFont val="宋体"/>
            <charset val="134"/>
          </rPr>
          <t>RFID贴纸：6/29订</t>
        </r>
      </text>
    </comment>
    <comment ref="S18" authorId="0">
      <text>
        <r>
          <rPr>
            <sz val="9"/>
            <rFont val="宋体"/>
            <charset val="134"/>
          </rPr>
          <t>RFID贴纸：6/29订</t>
        </r>
      </text>
    </comment>
    <comment ref="S19" authorId="0">
      <text>
        <r>
          <rPr>
            <sz val="9"/>
            <rFont val="宋体"/>
            <charset val="134"/>
          </rPr>
          <t>RFID贴纸：6/29订</t>
        </r>
      </text>
    </comment>
    <comment ref="S20" authorId="0">
      <text>
        <r>
          <rPr>
            <sz val="9"/>
            <rFont val="宋体"/>
            <charset val="134"/>
          </rPr>
          <t>RFID贴纸：7/14订</t>
        </r>
      </text>
    </comment>
    <comment ref="S21" authorId="0">
      <text>
        <r>
          <rPr>
            <sz val="9"/>
            <rFont val="宋体"/>
            <charset val="134"/>
          </rPr>
          <t>RFID贴纸：7/14订</t>
        </r>
      </text>
    </comment>
    <comment ref="S22" authorId="0">
      <text>
        <r>
          <rPr>
            <sz val="9"/>
            <rFont val="宋体"/>
            <charset val="134"/>
          </rPr>
          <t>RFID贴纸：7/14订</t>
        </r>
      </text>
    </comment>
    <comment ref="S23" authorId="0">
      <text>
        <r>
          <rPr>
            <sz val="9"/>
            <rFont val="宋体"/>
            <charset val="134"/>
          </rPr>
          <t>RFID贴纸：7/14订</t>
        </r>
      </text>
    </comment>
    <comment ref="S24" authorId="0">
      <text>
        <r>
          <rPr>
            <sz val="9"/>
            <rFont val="宋体"/>
            <charset val="134"/>
          </rPr>
          <t>RFID贴纸：7/14订</t>
        </r>
      </text>
    </comment>
    <comment ref="S25" authorId="0">
      <text>
        <r>
          <rPr>
            <sz val="9"/>
            <rFont val="宋体"/>
            <charset val="134"/>
          </rPr>
          <t>RFID贴纸：7/14订</t>
        </r>
      </text>
    </comment>
    <comment ref="S26" authorId="0">
      <text>
        <r>
          <rPr>
            <sz val="9"/>
            <rFont val="宋体"/>
            <charset val="134"/>
          </rPr>
          <t>RFID贴纸：7/14订</t>
        </r>
      </text>
    </comment>
    <comment ref="J3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2025余下4039</t>
        </r>
      </text>
    </comment>
  </commentList>
</comments>
</file>

<file path=xl/comments15.xml><?xml version="1.0" encoding="utf-8"?>
<comments xmlns="http://schemas.openxmlformats.org/spreadsheetml/2006/main">
  <authors>
    <author>COUTURE</author>
    <author>EVONNE</author>
    <author>WQF</author>
  </authors>
  <commentList>
    <comment ref="S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12/24已订</t>
        </r>
      </text>
    </comment>
    <comment ref="S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12/24已订</t>
        </r>
      </text>
    </comment>
    <comment ref="S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S18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19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20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21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22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23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24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25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26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S27" authorId="2">
      <text>
        <r>
          <rPr>
            <b/>
            <sz val="9"/>
            <rFont val="宋体"/>
            <charset val="134"/>
          </rPr>
          <t>RFID贴纸，4/14订</t>
        </r>
      </text>
    </comment>
    <comment ref="J3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2025余下8082</t>
        </r>
      </text>
    </comment>
  </commentList>
</comments>
</file>

<file path=xl/comments16.xml><?xml version="1.0" encoding="utf-8"?>
<comments xmlns="http://schemas.openxmlformats.org/spreadsheetml/2006/main">
  <authors>
    <author>Susan</author>
    <author>COUTURE</author>
  </authors>
  <commentList>
    <comment ref="T4" authorId="0">
      <text>
        <r>
          <rPr>
            <sz val="9"/>
            <rFont val="宋体"/>
            <charset val="134"/>
          </rPr>
          <t>10/21 订RFID，11/20订滑片纸四川</t>
        </r>
      </text>
    </comment>
    <comment ref="T5" authorId="0">
      <text>
        <r>
          <rPr>
            <sz val="9"/>
            <rFont val="宋体"/>
            <charset val="134"/>
          </rPr>
          <t>10/21 订RFID，11/20订滑片纸四川</t>
        </r>
      </text>
    </comment>
    <comment ref="T6" authorId="0">
      <text>
        <r>
          <rPr>
            <sz val="9"/>
            <rFont val="宋体"/>
            <charset val="134"/>
          </rPr>
          <t>10/21 订RFID，11/20订滑片纸
四川，</t>
        </r>
      </text>
    </comment>
    <comment ref="T7" authorId="0">
      <text>
        <r>
          <rPr>
            <sz val="9"/>
            <rFont val="宋体"/>
            <charset val="134"/>
          </rPr>
          <t>10/21 订RFID，</t>
        </r>
      </text>
    </comment>
    <comment ref="T8" authorId="0">
      <text>
        <r>
          <rPr>
            <sz val="9"/>
            <rFont val="宋体"/>
            <charset val="134"/>
          </rPr>
          <t>10/21 订RFID，滑片纸 11/20订四川</t>
        </r>
      </text>
    </comment>
    <comment ref="T9" authorId="0">
      <text>
        <r>
          <rPr>
            <sz val="9"/>
            <rFont val="宋体"/>
            <charset val="134"/>
          </rPr>
          <t>10/21 订RFID，滑片纸 11/20订四川</t>
        </r>
      </text>
    </comment>
    <comment ref="T10" authorId="0">
      <text>
        <r>
          <rPr>
            <sz val="9"/>
            <rFont val="宋体"/>
            <charset val="134"/>
          </rPr>
          <t>10/21 订RFID</t>
        </r>
      </text>
    </comment>
    <comment ref="T11" authorId="0">
      <text>
        <r>
          <rPr>
            <sz val="9"/>
            <rFont val="宋体"/>
            <charset val="134"/>
          </rPr>
          <t>10/21 订RFID</t>
        </r>
      </text>
    </comment>
    <comment ref="T12" authorId="0">
      <text>
        <r>
          <rPr>
            <sz val="9"/>
            <rFont val="宋体"/>
            <charset val="134"/>
          </rPr>
          <t>10/21 订RFID</t>
        </r>
      </text>
    </comment>
    <comment ref="T13" authorId="0">
      <text>
        <r>
          <rPr>
            <sz val="9"/>
            <rFont val="宋体"/>
            <charset val="134"/>
          </rPr>
          <t>10/21 订RFID，11/20 订四川滑片纸</t>
        </r>
      </text>
    </comment>
    <comment ref="T14" authorId="0">
      <text>
        <r>
          <rPr>
            <sz val="9"/>
            <rFont val="宋体"/>
            <charset val="134"/>
          </rPr>
          <t>10/21 订RFID，11/20订四川滑片纸</t>
        </r>
      </text>
    </comment>
    <comment ref="T15" authorId="0">
      <text>
        <r>
          <rPr>
            <sz val="9"/>
            <rFont val="宋体"/>
            <charset val="134"/>
          </rPr>
          <t>10/21 订RFID</t>
        </r>
      </text>
    </comment>
    <comment ref="T16" authorId="0">
      <text>
        <r>
          <rPr>
            <sz val="9"/>
            <rFont val="宋体"/>
            <charset val="134"/>
          </rPr>
          <t>10/21 订RFID</t>
        </r>
      </text>
    </comment>
    <comment ref="T17" authorId="0">
      <text>
        <r>
          <rPr>
            <sz val="9"/>
            <rFont val="宋体"/>
            <charset val="134"/>
          </rPr>
          <t>10/21 订RFID，11/1
20订四川滑片纸</t>
        </r>
      </text>
    </comment>
    <comment ref="U1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2/4/2026</t>
        </r>
      </text>
    </comment>
    <comment ref="T18" authorId="0">
      <text>
        <r>
          <rPr>
            <sz val="9"/>
            <rFont val="宋体"/>
            <charset val="134"/>
          </rPr>
          <t>10/21 订RFID，11/20订四川滑片纸</t>
        </r>
      </text>
    </comment>
    <comment ref="T19" authorId="0">
      <text>
        <r>
          <rPr>
            <sz val="9"/>
            <rFont val="宋体"/>
            <charset val="134"/>
          </rPr>
          <t>10/21 订RFID，11/20 订四川滑片纸</t>
        </r>
      </text>
    </comment>
    <comment ref="T2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12/9已订</t>
        </r>
      </text>
    </comment>
    <comment ref="T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12/9已订</t>
        </r>
      </text>
    </comment>
    <comment ref="T2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12/9已订</t>
        </r>
      </text>
    </comment>
    <comment ref="T25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26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27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28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29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0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1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2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3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4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5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6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7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8" authorId="1">
      <text>
        <r>
          <rPr>
            <sz val="9"/>
            <rFont val="宋体"/>
            <charset val="134"/>
          </rPr>
          <t>RFID贴纸，5/11订60120张+备品30张</t>
        </r>
      </text>
    </comment>
    <comment ref="T3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T4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T4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T4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T4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T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T4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T4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4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4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5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5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5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5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5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5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5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5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5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5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6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6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6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6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6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6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6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6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6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6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7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7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7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7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7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7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7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7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7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7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8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8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8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8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8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8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T8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8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8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8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9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9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7/14订</t>
        </r>
      </text>
    </comment>
    <comment ref="T9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
</t>
        </r>
      </text>
    </comment>
    <comment ref="T9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9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9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9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9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9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T10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7/27订</t>
        </r>
      </text>
    </comment>
    <comment ref="J11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2025年余下28556个</t>
        </r>
      </text>
    </comment>
  </commentList>
</comments>
</file>

<file path=xl/comments17.xml><?xml version="1.0" encoding="utf-8"?>
<comments xmlns="http://schemas.openxmlformats.org/spreadsheetml/2006/main">
  <authors>
    <author>Susan</author>
    <author>COUTURE</author>
  </authors>
  <commentList>
    <comment ref="AC4" authorId="0">
      <text>
        <r>
          <rPr>
            <b/>
            <sz val="9"/>
            <rFont val="宋体"/>
            <charset val="134"/>
          </rPr>
          <t>10/21 订RFID，11/20订四川滑片纸</t>
        </r>
      </text>
    </comment>
    <comment ref="AC5" authorId="0">
      <text>
        <r>
          <rPr>
            <b/>
            <sz val="9"/>
            <rFont val="宋体"/>
            <charset val="134"/>
          </rPr>
          <t>10/21 订RFID，11/20订四川滑片纸</t>
        </r>
      </text>
    </comment>
    <comment ref="AC6" authorId="0">
      <text>
        <r>
          <rPr>
            <b/>
            <sz val="9"/>
            <rFont val="宋体"/>
            <charset val="134"/>
          </rPr>
          <t>10/21 订RFID，11/20订四川滑片纸</t>
        </r>
      </text>
    </comment>
    <comment ref="AC7" authorId="0">
      <text>
        <r>
          <rPr>
            <b/>
            <sz val="9"/>
            <rFont val="宋体"/>
            <charset val="134"/>
          </rPr>
          <t>10/21 订RFID</t>
        </r>
      </text>
    </comment>
    <comment ref="AC8" authorId="0">
      <text>
        <r>
          <rPr>
            <b/>
            <sz val="9"/>
            <rFont val="宋体"/>
            <charset val="134"/>
          </rPr>
          <t>10/21 订RFID，11/20订四川滑片纸</t>
        </r>
      </text>
    </comment>
    <comment ref="AC9" authorId="0">
      <text>
        <r>
          <rPr>
            <b/>
            <sz val="9"/>
            <rFont val="宋体"/>
            <charset val="134"/>
          </rPr>
          <t>10/21 订RFID</t>
        </r>
      </text>
    </comment>
    <comment ref="AC10" authorId="0">
      <text>
        <r>
          <rPr>
            <b/>
            <sz val="9"/>
            <rFont val="宋体"/>
            <charset val="134"/>
          </rPr>
          <t>10/21 订RFID</t>
        </r>
      </text>
    </comment>
    <comment ref="AC11" authorId="0">
      <text>
        <r>
          <rPr>
            <b/>
            <sz val="9"/>
            <rFont val="宋体"/>
            <charset val="134"/>
          </rPr>
          <t>10/21 订RFID</t>
        </r>
      </text>
    </comment>
    <comment ref="AC12" authorId="0">
      <text>
        <r>
          <rPr>
            <b/>
            <sz val="9"/>
            <rFont val="宋体"/>
            <charset val="134"/>
          </rPr>
          <t>10/21 订RFID</t>
        </r>
      </text>
    </comment>
    <comment ref="AC13" authorId="0">
      <text>
        <r>
          <rPr>
            <b/>
            <sz val="9"/>
            <rFont val="宋体"/>
            <charset val="134"/>
          </rPr>
          <t>10/21 订RFID，11/20订四川滑片纸</t>
        </r>
      </text>
    </comment>
    <comment ref="AC14" authorId="0">
      <text>
        <r>
          <rPr>
            <b/>
            <sz val="9"/>
            <rFont val="宋体"/>
            <charset val="134"/>
          </rPr>
          <t>10/21 订RFID，11/20订四川滑片纸</t>
        </r>
      </text>
    </comment>
    <comment ref="AC15" authorId="0">
      <text>
        <r>
          <rPr>
            <b/>
            <sz val="9"/>
            <rFont val="宋体"/>
            <charset val="134"/>
          </rPr>
          <t>10/21 订RFID</t>
        </r>
      </text>
    </comment>
    <comment ref="AC16" authorId="0">
      <text>
        <r>
          <rPr>
            <b/>
            <sz val="9"/>
            <rFont val="宋体"/>
            <charset val="134"/>
          </rPr>
          <t>10/21 订RFID</t>
        </r>
      </text>
    </comment>
    <comment ref="AC19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0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1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2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3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4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5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6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D2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6/1改</t>
        </r>
      </text>
    </comment>
    <comment ref="AC27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8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29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30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C3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AC3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3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3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3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36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D3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6/1改</t>
        </r>
      </text>
    </comment>
    <comment ref="AC37" authorId="1">
      <text>
        <r>
          <rPr>
            <sz val="9"/>
            <rFont val="宋体"/>
            <charset val="134"/>
          </rPr>
          <t xml:space="preserve">RFID贴纸，5/11订
27304张+备品16张
</t>
        </r>
      </text>
    </comment>
    <comment ref="AD3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6/1改</t>
        </r>
      </text>
    </comment>
    <comment ref="AC3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AC3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AC4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4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RFID贴纸，6/11订</t>
        </r>
      </text>
    </comment>
    <comment ref="AC5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RFID贴纸：7/2订</t>
        </r>
      </text>
    </comment>
    <comment ref="AC5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
</t>
        </r>
      </text>
    </comment>
    <comment ref="AC6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6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7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7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7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7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7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7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RFID贴纸：7/27订</t>
        </r>
      </text>
    </comment>
    <comment ref="AC7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7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7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AC8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RFID贴纸：8/22订</t>
        </r>
      </text>
    </comment>
    <comment ref="L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M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N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O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P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Q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R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S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T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U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V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  <comment ref="W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2025年余下25288</t>
        </r>
      </text>
    </comment>
  </commentList>
</comments>
</file>

<file path=xl/comments18.xml><?xml version="1.0" encoding="utf-8"?>
<comments xmlns="http://schemas.openxmlformats.org/spreadsheetml/2006/main">
  <authors>
    <author>COUTURE</author>
    <author>EVONNE</author>
  </authors>
  <commentList>
    <comment ref="Y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贴纸1/20订</t>
        </r>
      </text>
    </comment>
    <comment ref="Y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贴纸1/20订
</t>
        </r>
      </text>
    </comment>
    <comment ref="Y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贴纸1/20订
</t>
        </r>
      </text>
    </comment>
    <comment ref="Y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贴纸1/20订
</t>
        </r>
      </text>
    </comment>
    <comment ref="Y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贴纸1/20订
</t>
        </r>
      </text>
    </comment>
    <comment ref="Y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贴纸1/20订
</t>
        </r>
      </text>
    </comment>
    <comment ref="Y1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贴纸1/20订
</t>
        </r>
      </text>
    </comment>
    <comment ref="Y11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Y12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Y13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Y14" authorId="1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Y1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4/1订</t>
        </r>
      </text>
    </comment>
    <comment ref="Y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6/22订</t>
        </r>
      </text>
    </comment>
    <comment ref="Y1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6/22订</t>
        </r>
      </text>
    </comment>
    <comment ref="Y2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6/22订</t>
        </r>
      </text>
    </comment>
    <comment ref="Y2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6/22订</t>
        </r>
      </text>
    </comment>
    <comment ref="Y2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6/22订</t>
        </r>
      </text>
    </comment>
    <comment ref="Y2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Y2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Y2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Y2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Y2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Y2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RFID贴纸：7/2已订</t>
        </r>
      </text>
    </comment>
    <comment ref="Y2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RFID:7/27下</t>
        </r>
      </text>
    </comment>
    <comment ref="Y3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RFID:7/27下
</t>
        </r>
      </text>
    </comment>
    <comment ref="L3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2025余下20599</t>
        </r>
      </text>
    </comment>
    <comment ref="M3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2025余下20599</t>
        </r>
      </text>
    </comment>
    <comment ref="N3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2025余下20599</t>
        </r>
      </text>
    </comment>
    <comment ref="O3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2025余下20599</t>
        </r>
      </text>
    </comment>
    <comment ref="P3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2025余下20599</t>
        </r>
      </text>
    </comment>
  </commentList>
</comments>
</file>

<file path=xl/comments19.xml><?xml version="1.0" encoding="utf-8"?>
<comments xmlns="http://schemas.openxmlformats.org/spreadsheetml/2006/main">
  <authors>
    <author>COUTURE</author>
  </authors>
  <commentList>
    <comment ref="AD15" authorId="0">
      <text>
        <r>
          <rPr>
            <sz val="9"/>
            <rFont val="宋体"/>
            <charset val="134"/>
          </rPr>
          <t>邮件确认无价格贴纸</t>
        </r>
      </text>
    </comment>
  </commentList>
</comments>
</file>

<file path=xl/comments20.xml><?xml version="1.0" encoding="utf-8"?>
<comments xmlns="http://schemas.openxmlformats.org/spreadsheetml/2006/main">
  <authors>
    <author>Susan</author>
    <author>WQF</author>
    <author>COUTURE</author>
  </authors>
  <commentList>
    <comment ref="AA8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#33428 90MM胶针已订，只需要订80MM</t>
        </r>
      </text>
    </comment>
    <comment ref="AA9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#33428 90MM胶针已订，只需要订80MM</t>
        </r>
      </text>
    </comment>
    <comment ref="AA10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#33428 90MM胶针已订，只需要订80MM</t>
        </r>
      </text>
    </comment>
    <comment ref="AD18" authorId="1">
      <text>
        <r>
          <rPr>
            <sz val="9"/>
            <rFont val="宋体"/>
            <charset val="134"/>
          </rPr>
          <t xml:space="preserve">CE贴纸，4/20订
</t>
        </r>
      </text>
    </comment>
    <comment ref="D29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5/19取消POHK-26-10891，1000套</t>
        </r>
      </text>
    </comment>
    <comment ref="J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540套×12款=6480个</t>
        </r>
      </text>
    </comment>
    <comment ref="L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M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N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O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P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Q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R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S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T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U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V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W3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540个</t>
        </r>
      </text>
    </comment>
    <comment ref="J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748套×12款=8976个</t>
        </r>
      </text>
    </comment>
    <comment ref="L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M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N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O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P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Q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R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S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T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U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V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W3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748套</t>
        </r>
      </text>
    </comment>
    <comment ref="AD37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半圆贴纸：7/20订</t>
        </r>
      </text>
    </comment>
    <comment ref="AD3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半圆贴纸：7/20订</t>
        </r>
      </text>
    </comment>
    <comment ref="AD39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半圆贴纸：7/20订</t>
        </r>
      </text>
    </comment>
    <comment ref="AD40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半圆贴纸：7/20订</t>
        </r>
      </text>
    </comment>
    <comment ref="AD41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半圆贴纸：7/20订</t>
        </r>
      </text>
    </comment>
    <comment ref="Z44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880个彩盒用：PO-13031&amp;13033的库存</t>
        </r>
      </text>
    </comment>
    <comment ref="AD48" authorId="2">
      <text>
        <r>
          <rPr>
            <sz val="9"/>
            <rFont val="宋体"/>
            <charset val="134"/>
          </rPr>
          <t xml:space="preserve">半圆贴纸8/26订
胶袋 9/2订
</t>
        </r>
      </text>
    </comment>
    <comment ref="L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M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N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O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P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Q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R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S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T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U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V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  <comment ref="W5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2025余下10880</t>
        </r>
      </text>
    </comment>
  </commentList>
</comments>
</file>

<file path=xl/comments21.xml><?xml version="1.0" encoding="utf-8"?>
<comments xmlns="http://schemas.openxmlformats.org/spreadsheetml/2006/main">
  <authors>
    <author>COUTURE</author>
  </authors>
  <commentList>
    <comment ref="L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M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N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O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P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Q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R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S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T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U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V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W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X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Y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A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B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C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D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E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F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G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H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I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J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K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L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M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N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O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AP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BT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BU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BV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BW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BX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BY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BZ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  <comment ref="CA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2025余下7843</t>
        </r>
      </text>
    </comment>
  </commentList>
</comments>
</file>

<file path=xl/comments22.xml><?xml version="1.0" encoding="utf-8"?>
<comments xmlns="http://schemas.openxmlformats.org/spreadsheetml/2006/main">
  <authors>
    <author>WQF</author>
  </authors>
  <commentList>
    <comment ref="AP4" authorId="0">
      <text>
        <r>
          <rPr>
            <sz val="9"/>
            <rFont val="宋体"/>
            <charset val="134"/>
          </rPr>
          <t>进口商贴纸，5/6订
CE半圆贴纸，5/7订</t>
        </r>
      </text>
    </comment>
    <comment ref="AP5" authorId="0">
      <text>
        <r>
          <rPr>
            <sz val="9"/>
            <rFont val="宋体"/>
            <charset val="134"/>
          </rPr>
          <t>进口商贴纸，5/6订
CE半圆贴纸，5/7订</t>
        </r>
      </text>
    </comment>
    <comment ref="AP6" authorId="0">
      <text>
        <r>
          <rPr>
            <sz val="9"/>
            <rFont val="宋体"/>
            <charset val="134"/>
          </rPr>
          <t xml:space="preserve">CE半圆贴纸，5/6订
进口商贴纸，5/6订
</t>
        </r>
      </text>
    </comment>
    <comment ref="AP7" authorId="0">
      <text>
        <r>
          <rPr>
            <sz val="9"/>
            <rFont val="宋体"/>
            <charset val="134"/>
          </rPr>
          <t xml:space="preserve">CE半圆贴纸，5/6订
进口商贴纸，5/6订
</t>
        </r>
      </text>
    </comment>
    <comment ref="AP8" authorId="0">
      <text>
        <r>
          <rPr>
            <sz val="9"/>
            <rFont val="宋体"/>
            <charset val="134"/>
          </rPr>
          <t xml:space="preserve">CE半圆贴纸，5/6订
进口商贴纸，5/6订
</t>
        </r>
      </text>
    </comment>
  </commentList>
</comments>
</file>

<file path=xl/comments23.xml><?xml version="1.0" encoding="utf-8"?>
<comments xmlns="http://schemas.openxmlformats.org/spreadsheetml/2006/main">
  <authors>
    <author>EVONNE</author>
    <author>Susan</author>
    <author>COUTURE</author>
  </authors>
  <commentList>
    <comment ref="D4" authorId="0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8.26改PO号及出货期，原PO号POHK-25-13158，SD 8/8</t>
        </r>
      </text>
    </comment>
    <comment ref="J4" authorId="1">
      <text>
        <r>
          <rPr>
            <b/>
            <sz val="9"/>
            <rFont val="宋体"/>
            <charset val="134"/>
          </rPr>
          <t xml:space="preserve">MA25003
</t>
        </r>
      </text>
    </comment>
    <comment ref="G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11/19</t>
        </r>
      </text>
    </comment>
    <comment ref="AV5" authorId="1">
      <text>
        <r>
          <rPr>
            <b/>
            <sz val="9"/>
            <rFont val="宋体"/>
            <charset val="134"/>
          </rPr>
          <t>胶袋10/20订</t>
        </r>
        <r>
          <rPr>
            <sz val="9"/>
            <rFont val="宋体"/>
            <charset val="134"/>
          </rPr>
          <t xml:space="preserve">
</t>
        </r>
      </text>
    </comment>
    <comment ref="BA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11/19</t>
        </r>
      </text>
    </comment>
    <comment ref="BF5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原来是33490-000-3D-036-HT0</t>
        </r>
      </text>
    </comment>
    <comment ref="AW6" authorId="1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胶袋12/2订畅泰</t>
        </r>
      </text>
    </comment>
    <comment ref="BF6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原33490-000-3G-036-HT0</t>
        </r>
      </text>
    </comment>
    <comment ref="AW7" authorId="1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天行者用7MM</t>
        </r>
      </text>
    </comment>
    <comment ref="AW8" authorId="1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33636 33641 33644 33646 用7MM</t>
        </r>
      </text>
    </comment>
    <comment ref="AV10" authorId="1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仓存有8L PDQ 1389PCS</t>
        </r>
      </text>
    </comment>
    <comment ref="D13" authorId="1">
      <text>
        <r>
          <rPr>
            <b/>
            <sz val="9"/>
            <rFont val="宋体"/>
            <charset val="134"/>
          </rPr>
          <t xml:space="preserve">收圆形贴纸费用
</t>
        </r>
        <r>
          <rPr>
            <sz val="9"/>
            <rFont val="宋体"/>
            <charset val="134"/>
          </rPr>
          <t xml:space="preserve">
</t>
        </r>
      </text>
    </comment>
    <comment ref="J17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原订单126</t>
        </r>
      </text>
    </comment>
    <comment ref="J1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原订单270</t>
        </r>
      </text>
    </comment>
    <comment ref="AW21" authorId="1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33636 33641 33644 33646 用7MM</t>
        </r>
      </text>
    </comment>
    <comment ref="AZ21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胶袋1/5已订</t>
        </r>
      </text>
    </comment>
    <comment ref="J29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4/2增加1512个</t>
        </r>
      </text>
    </comment>
    <comment ref="AZ4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空白贴纸7/10到
</t>
        </r>
      </text>
    </comment>
    <comment ref="AZ50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空白贴纸7/10到
</t>
        </r>
      </text>
    </comment>
    <comment ref="AZ51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空白贴纸7/10到
</t>
        </r>
      </text>
    </comment>
    <comment ref="AZ52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空白贴纸7/10到
</t>
        </r>
      </text>
    </comment>
    <comment ref="L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2025余下6003</t>
        </r>
      </text>
    </comment>
    <comment ref="M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2025余下21000</t>
        </r>
      </text>
    </comment>
    <comment ref="O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2025余下2340</t>
        </r>
      </text>
    </comment>
    <comment ref="R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2025余下5450</t>
        </r>
      </text>
    </comment>
    <comment ref="S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2025余下2780</t>
        </r>
      </text>
    </comment>
    <comment ref="T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2025余下8343</t>
        </r>
      </text>
    </comment>
    <comment ref="U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2025余下4002</t>
        </r>
      </text>
    </comment>
    <comment ref="V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2025余下4002</t>
        </r>
      </text>
    </comment>
    <comment ref="W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2025余下4002</t>
        </r>
      </text>
    </comment>
    <comment ref="X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2025余下4002</t>
        </r>
      </text>
    </comment>
    <comment ref="Y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2025余下4002</t>
        </r>
      </text>
    </comment>
    <comment ref="Z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2025余下4002</t>
        </r>
      </text>
    </comment>
    <comment ref="AB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2025余下32458</t>
        </r>
      </text>
    </comment>
    <comment ref="AC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2025余下25450</t>
        </r>
      </text>
    </comment>
    <comment ref="AD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2025余下25450</t>
        </r>
      </text>
    </comment>
    <comment ref="AE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2025余下31006</t>
        </r>
      </text>
    </comment>
    <comment ref="AF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2025余下22672</t>
        </r>
      </text>
    </comment>
    <comment ref="AG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2025余下22672</t>
        </r>
      </text>
    </comment>
    <comment ref="AH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2025余下22784</t>
        </r>
      </text>
    </comment>
    <comment ref="AI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2025余下25450</t>
        </r>
      </text>
    </comment>
    <comment ref="AJ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2025余下25450</t>
        </r>
      </text>
    </comment>
    <comment ref="AK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2025余下7008</t>
        </r>
      </text>
    </comment>
    <comment ref="AL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2025余下15900</t>
        </r>
      </text>
    </comment>
    <comment ref="AM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2025余下15900</t>
        </r>
      </text>
    </comment>
    <comment ref="AN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2025余下18006</t>
        </r>
      </text>
    </comment>
    <comment ref="AO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2025余下15228</t>
        </r>
      </text>
    </comment>
    <comment ref="AP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2025余下15228</t>
        </r>
      </text>
    </comment>
    <comment ref="AQ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2025余下15228</t>
        </r>
      </text>
    </comment>
    <comment ref="AR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2025余下16618</t>
        </r>
      </text>
    </comment>
    <comment ref="AS58" authorId="2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2025余下19396</t>
        </r>
      </text>
    </comment>
  </commentList>
</comments>
</file>

<file path=xl/comments24.xml><?xml version="1.0" encoding="utf-8"?>
<comments xmlns="http://schemas.openxmlformats.org/spreadsheetml/2006/main">
  <authors>
    <author>Susan</author>
    <author>COUTURE</author>
    <author>WQF</author>
  </authors>
  <commentList>
    <comment ref="BA6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胶袋12/2订四川</t>
        </r>
      </text>
    </comment>
    <comment ref="BJ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原33475-000-3K-036-HT0</t>
        </r>
      </text>
    </comment>
    <comment ref="BA10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26406PCS用取消的单仓存；余数12/1订</t>
        </r>
      </text>
    </comment>
    <comment ref="BD1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胶袋12/13已订</t>
        </r>
      </text>
    </comment>
    <comment ref="AZ1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使用POHK-25-14173取消订单</t>
        </r>
      </text>
    </comment>
    <comment ref="BA1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使用POHK-25-14173取消订单</t>
        </r>
      </text>
    </comment>
    <comment ref="BD1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胶袋1/5已订</t>
        </r>
      </text>
    </comment>
    <comment ref="J1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原订单126</t>
        </r>
      </text>
    </comment>
    <comment ref="BA15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12/5订胶袋</t>
        </r>
      </text>
    </comment>
    <comment ref="J1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原订单270</t>
        </r>
      </text>
    </comment>
    <comment ref="BA16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12/5胶袋</t>
        </r>
      </text>
    </comment>
    <comment ref="AZ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PDQ没有订</t>
        </r>
      </text>
    </comment>
    <comment ref="BA21" authorId="0">
      <text>
        <r>
          <rPr>
            <b/>
            <sz val="9"/>
            <rFont val="宋体"/>
            <charset val="134"/>
          </rPr>
          <t>Susan:</t>
        </r>
        <r>
          <rPr>
            <sz val="9"/>
            <rFont val="宋体"/>
            <charset val="134"/>
          </rPr>
          <t xml:space="preserve">
莫阿诺用7MM </t>
        </r>
      </text>
    </comment>
    <comment ref="O2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这个订单UPC改为#33089</t>
        </r>
      </text>
    </comment>
    <comment ref="BD2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胶袋1/5已订</t>
        </r>
      </text>
    </comment>
    <comment ref="BJ2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原33475-000-4G-036-HT0</t>
        </r>
      </text>
    </comment>
    <comment ref="BD38" authorId="2">
      <text>
        <r>
          <rPr>
            <b/>
            <sz val="9"/>
            <rFont val="宋体"/>
            <charset val="134"/>
          </rPr>
          <t>WQF:</t>
        </r>
        <r>
          <rPr>
            <sz val="9"/>
            <rFont val="宋体"/>
            <charset val="134"/>
          </rPr>
          <t xml:space="preserve">
3/25订胶袋</t>
        </r>
      </text>
    </comment>
    <comment ref="BD39" authorId="2">
      <text>
        <r>
          <rPr>
            <sz val="9"/>
            <rFont val="宋体"/>
            <charset val="134"/>
          </rPr>
          <t xml:space="preserve">胶袋，5/8订
</t>
        </r>
      </text>
    </comment>
    <comment ref="BD40" authorId="2">
      <text>
        <r>
          <rPr>
            <sz val="9"/>
            <rFont val="宋体"/>
            <charset val="134"/>
          </rPr>
          <t xml:space="preserve">胶袋，5/8订
</t>
        </r>
      </text>
    </comment>
    <comment ref="AD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AE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AF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AG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AH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AI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AJ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AK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AL4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客人更改PO数量，原始数量20000个</t>
        </r>
      </text>
    </comment>
    <comment ref="O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客人更改POO，原始数量2000个</t>
        </r>
      </text>
    </comment>
    <comment ref="AM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客人更改POO，原始数量3000个</t>
        </r>
      </text>
    </comment>
    <comment ref="AN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客人更改POO，原始数量3000个</t>
        </r>
      </text>
    </comment>
    <comment ref="AO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客人更改POO，原始数量3000个</t>
        </r>
      </text>
    </comment>
    <comment ref="AP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客人更改POO，原始数量3000个</t>
        </r>
      </text>
    </comment>
    <comment ref="AQ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客人更改POO，原始数量2000个</t>
        </r>
      </text>
    </comment>
    <comment ref="AR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客人更改POO，原始数量2000个</t>
        </r>
      </text>
    </comment>
    <comment ref="BD61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 xml:space="preserve">价格贴纸，6/27订
</t>
        </r>
      </text>
    </comment>
    <comment ref="AZ6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33615吊牌先用库存</t>
        </r>
      </text>
    </comment>
    <comment ref="AZ6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33615吊牌先用库存
</t>
        </r>
      </text>
    </comment>
    <comment ref="BD6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胶袋：7/10下</t>
        </r>
      </text>
    </comment>
    <comment ref="AZ6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33615吊牌先用库存
</t>
        </r>
      </text>
    </comment>
    <comment ref="AZ6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33615吊牌先用库存
</t>
        </r>
      </text>
    </comment>
    <comment ref="BD67" authorId="1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 xml:space="preserve">价格贴纸，6/27订
</t>
        </r>
      </text>
    </comment>
    <comment ref="D6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POHK-26-02474取消1170个，转入此张订单出货，不更改原有包装</t>
        </r>
      </text>
    </comment>
    <comment ref="D7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POHK-26-02482取消1170个，转入此张订单出货，不更改原有包装</t>
        </r>
      </text>
    </comment>
    <comment ref="BD7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空白贴纸7/10到</t>
        </r>
      </text>
    </comment>
    <comment ref="BD7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空白贴纸7/10到
</t>
        </r>
      </text>
    </comment>
    <comment ref="BD7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空白贴纸7/10到
</t>
        </r>
      </text>
    </comment>
    <comment ref="BD7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空白贴纸7/10到
</t>
        </r>
      </text>
    </comment>
    <comment ref="BD78" authorId="1">
      <text>
        <r>
          <rPr>
            <sz val="9"/>
            <rFont val="宋体"/>
            <charset val="134"/>
          </rPr>
          <t>胶袋 9/9 订</t>
        </r>
      </text>
    </comment>
    <comment ref="L8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2025余下45896</t>
        </r>
      </text>
    </comment>
    <comment ref="M8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2025余下48236</t>
        </r>
      </text>
    </comment>
    <comment ref="N8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2025余下9920</t>
        </r>
      </text>
    </comment>
    <comment ref="O8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2025余下51436</t>
        </r>
      </text>
    </comment>
    <comment ref="P8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2025余下6428</t>
        </r>
      </text>
    </comment>
    <comment ref="Q8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2025余下33322</t>
        </r>
      </text>
    </comment>
    <comment ref="R8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2025余下45142</t>
        </r>
      </text>
    </comment>
    <comment ref="S8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2025余下41512</t>
        </r>
      </text>
    </comment>
  </commentList>
</comments>
</file>

<file path=xl/comments25.xml><?xml version="1.0" encoding="utf-8"?>
<comments xmlns="http://schemas.openxmlformats.org/spreadsheetml/2006/main">
  <authors>
    <author>COUTURE</author>
    <author>WQF</author>
  </authors>
  <commentList>
    <comment ref="Z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 4/21订</t>
        </r>
      </text>
    </comment>
    <comment ref="Z6" authorId="1">
      <text>
        <r>
          <rPr>
            <sz val="9"/>
            <rFont val="宋体"/>
            <charset val="134"/>
          </rPr>
          <t xml:space="preserve">胶袋5/14订
</t>
        </r>
      </text>
    </comment>
    <comment ref="Z7" authorId="1">
      <text>
        <r>
          <rPr>
            <sz val="9"/>
            <rFont val="宋体"/>
            <charset val="134"/>
          </rPr>
          <t xml:space="preserve">胶袋5/14订
</t>
        </r>
      </text>
    </comment>
  </commentList>
</comments>
</file>

<file path=xl/comments26.xml><?xml version="1.0" encoding="utf-8"?>
<comments xmlns="http://schemas.openxmlformats.org/spreadsheetml/2006/main">
  <authors>
    <author>COUTURE</author>
    <author>WQF</author>
  </authors>
  <commentList>
    <comment ref="X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 4/21订</t>
        </r>
      </text>
    </comment>
    <comment ref="X6" authorId="1">
      <text>
        <r>
          <rPr>
            <sz val="9"/>
            <rFont val="宋体"/>
            <charset val="134"/>
          </rPr>
          <t xml:space="preserve">胶袋5/14订
</t>
        </r>
      </text>
    </comment>
    <comment ref="X7" authorId="1">
      <text>
        <r>
          <rPr>
            <sz val="9"/>
            <rFont val="宋体"/>
            <charset val="134"/>
          </rPr>
          <t xml:space="preserve">胶袋5/14订
</t>
        </r>
      </text>
    </comment>
    <comment ref="X10" authorId="0">
      <text>
        <r>
          <rPr>
            <sz val="9"/>
            <rFont val="宋体"/>
            <charset val="134"/>
          </rPr>
          <t>进口商贴纸8/20订</t>
        </r>
      </text>
    </comment>
    <comment ref="X11" authorId="0">
      <text>
        <r>
          <rPr>
            <sz val="9"/>
            <rFont val="宋体"/>
            <charset val="134"/>
          </rPr>
          <t>进口商贴纸8/20订</t>
        </r>
      </text>
    </comment>
    <comment ref="X12" authorId="0">
      <text>
        <r>
          <rPr>
            <sz val="9"/>
            <rFont val="宋体"/>
            <charset val="134"/>
          </rPr>
          <t>进口商贴纸8/20订</t>
        </r>
      </text>
    </comment>
  </commentList>
</comments>
</file>

<file path=xl/comments27.xml><?xml version="1.0" encoding="utf-8"?>
<comments xmlns="http://schemas.openxmlformats.org/spreadsheetml/2006/main">
  <authors>
    <author>COUTURE</author>
    <author>WQF</author>
  </authors>
  <commentList>
    <comment ref="AA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 4/21订</t>
        </r>
      </text>
    </comment>
    <comment ref="AA6" authorId="1">
      <text>
        <r>
          <rPr>
            <sz val="9"/>
            <rFont val="宋体"/>
            <charset val="134"/>
          </rPr>
          <t xml:space="preserve">胶袋5/14订
</t>
        </r>
      </text>
    </comment>
    <comment ref="AA7" authorId="1">
      <text>
        <r>
          <rPr>
            <sz val="9"/>
            <rFont val="宋体"/>
            <charset val="134"/>
          </rPr>
          <t xml:space="preserve">胶袋5/14订
</t>
        </r>
      </text>
    </comment>
    <comment ref="AA10" authorId="0">
      <text>
        <r>
          <rPr>
            <sz val="9"/>
            <rFont val="宋体"/>
            <charset val="134"/>
          </rPr>
          <t>进口商贴纸8/20订</t>
        </r>
      </text>
    </comment>
    <comment ref="AA11" authorId="0">
      <text>
        <r>
          <rPr>
            <sz val="9"/>
            <rFont val="宋体"/>
            <charset val="134"/>
          </rPr>
          <t>进口商贴纸8/20订</t>
        </r>
      </text>
    </comment>
    <comment ref="AA12" authorId="0">
      <text>
        <r>
          <rPr>
            <sz val="9"/>
            <rFont val="宋体"/>
            <charset val="134"/>
          </rPr>
          <t>进口商贴纸8/20订</t>
        </r>
      </text>
    </comment>
  </commentList>
</comments>
</file>

<file path=xl/comments28.xml><?xml version="1.0" encoding="utf-8"?>
<comments xmlns="http://schemas.openxmlformats.org/spreadsheetml/2006/main">
  <authors>
    <author>COUTURE</author>
    <author>WQF</author>
  </authors>
  <commentList>
    <comment ref="AA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胶袋 4/21订</t>
        </r>
      </text>
    </comment>
    <comment ref="AA6" authorId="1">
      <text>
        <r>
          <rPr>
            <sz val="9"/>
            <rFont val="宋体"/>
            <charset val="134"/>
          </rPr>
          <t xml:space="preserve">胶袋5/14订
</t>
        </r>
      </text>
    </comment>
    <comment ref="AA7" authorId="1">
      <text>
        <r>
          <rPr>
            <sz val="9"/>
            <rFont val="宋体"/>
            <charset val="134"/>
          </rPr>
          <t xml:space="preserve">胶袋5/14订
</t>
        </r>
      </text>
    </comment>
  </commentList>
</comments>
</file>

<file path=xl/comments29.xml><?xml version="1.0" encoding="utf-8"?>
<comments xmlns="http://schemas.openxmlformats.org/spreadsheetml/2006/main">
  <authors>
    <author>COUTURE</author>
    <author>WQF</author>
  </authors>
  <commentList>
    <comment ref="L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46897
46913</t>
        </r>
      </text>
    </comment>
    <comment ref="M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46886
46857</t>
        </r>
      </text>
    </comment>
    <comment ref="N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46913</t>
        </r>
      </text>
    </comment>
    <comment ref="Q4" authorId="1">
      <text>
        <r>
          <rPr>
            <b/>
            <sz val="9"/>
            <rFont val="宋体"/>
            <charset val="134"/>
          </rPr>
          <t>蓝色胶袋</t>
        </r>
      </text>
    </comment>
    <comment ref="J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5/22修改，原订单数量2640</t>
        </r>
      </text>
    </comment>
    <comment ref="Q6" authorId="1">
      <text>
        <r>
          <rPr>
            <b/>
            <sz val="9"/>
            <rFont val="宋体"/>
            <charset val="134"/>
          </rPr>
          <t>紫色胶袋</t>
        </r>
      </text>
    </comment>
    <comment ref="M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46857</t>
        </r>
      </text>
    </comment>
    <comment ref="Q7" authorId="1">
      <text>
        <r>
          <rPr>
            <b/>
            <sz val="9"/>
            <rFont val="宋体"/>
            <charset val="134"/>
          </rPr>
          <t>紫色胶袋</t>
        </r>
      </text>
    </comment>
    <comment ref="L2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4/8取消</t>
        </r>
      </text>
    </comment>
    <comment ref="L3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4/8取消</t>
        </r>
      </text>
    </comment>
    <comment ref="L3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4/8取消</t>
        </r>
      </text>
    </comment>
    <comment ref="L3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4/8取消</t>
        </r>
      </text>
    </comment>
    <comment ref="L3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4/8取消</t>
        </r>
      </text>
    </comment>
    <comment ref="L6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#46897</t>
        </r>
      </text>
    </comment>
    <comment ref="V7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5/23送33477</t>
        </r>
      </text>
    </comment>
    <comment ref="V1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6/6送46862</t>
        </r>
      </text>
    </comment>
    <comment ref="V14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6/6送46862</t>
        </r>
      </text>
    </comment>
    <comment ref="J14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</t>
        </r>
      </text>
    </comment>
    <comment ref="O14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订单取消860个</t>
        </r>
      </text>
    </comment>
    <comment ref="O14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订单取消572个</t>
        </r>
      </text>
    </comment>
    <comment ref="R204" authorId="1">
      <text>
        <r>
          <rPr>
            <b/>
            <sz val="9"/>
            <rFont val="宋体"/>
            <charset val="134"/>
          </rPr>
          <t>蓝色胶袋</t>
        </r>
      </text>
    </comment>
    <comment ref="R206" authorId="1">
      <text>
        <r>
          <rPr>
            <b/>
            <sz val="9"/>
            <rFont val="宋体"/>
            <charset val="134"/>
          </rPr>
          <t>紫色胶袋</t>
        </r>
      </text>
    </comment>
  </commentList>
</comments>
</file>

<file path=xl/comments30.xml><?xml version="1.0" encoding="utf-8"?>
<comments xmlns="http://schemas.openxmlformats.org/spreadsheetml/2006/main">
  <authors>
    <author>COUTURE</author>
  </authors>
  <commentList>
    <comment ref="W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外箱贴纸1/27订</t>
        </r>
      </text>
    </comment>
    <comment ref="W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外箱贴纸1/27订</t>
        </r>
      </text>
    </comment>
    <comment ref="W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外箱贴纸1/27订</t>
        </r>
      </text>
    </comment>
    <comment ref="W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外箱贴纸1/27订</t>
        </r>
      </text>
    </comment>
  </commentList>
</comments>
</file>

<file path=xl/comments31.xml><?xml version="1.0" encoding="utf-8"?>
<comments xmlns="http://schemas.openxmlformats.org/spreadsheetml/2006/main">
  <authors>
    <author>COUTURE</author>
  </authors>
  <commentList>
    <comment ref="J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原订单数量23796</t>
        </r>
      </text>
    </comment>
    <comment ref="L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原订单数量5288</t>
        </r>
      </text>
    </comment>
    <comment ref="M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原订单数量5288</t>
        </r>
      </text>
    </comment>
    <comment ref="N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原订单数量5288</t>
        </r>
      </text>
    </comment>
    <comment ref="O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原订单数量3966
</t>
        </r>
      </text>
    </comment>
    <comment ref="P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原订单数量3966
</t>
        </r>
      </text>
    </comment>
  </commentList>
</comments>
</file>

<file path=xl/comments32.xml><?xml version="1.0" encoding="utf-8"?>
<comments xmlns="http://schemas.openxmlformats.org/spreadsheetml/2006/main">
  <authors>
    <author>Susan</author>
    <author>COUTURE</author>
    <author>EVONNE</author>
    <author>WQF</author>
  </authors>
  <commentList>
    <comment ref="AX6" authorId="0">
      <text>
        <r>
          <rPr>
            <b/>
            <sz val="9"/>
            <rFont val="宋体"/>
            <charset val="134"/>
          </rPr>
          <t>RFID 9/28已订</t>
        </r>
      </text>
    </comment>
    <comment ref="AX7" authorId="0">
      <text>
        <r>
          <rPr>
            <b/>
            <sz val="9"/>
            <rFont val="宋体"/>
            <charset val="134"/>
          </rPr>
          <t>RFID 9/28已订</t>
        </r>
      </text>
    </comment>
    <comment ref="AX8" authorId="0">
      <text>
        <r>
          <rPr>
            <b/>
            <sz val="9"/>
            <rFont val="宋体"/>
            <charset val="134"/>
          </rPr>
          <t>RFID 9/28已订</t>
        </r>
      </text>
    </comment>
    <comment ref="AX1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1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
</t>
        </r>
      </text>
    </comment>
    <comment ref="AX1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
</t>
        </r>
      </text>
    </comment>
    <comment ref="AX1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
</t>
        </r>
      </text>
    </comment>
    <comment ref="AX1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1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1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1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2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2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2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2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</t>
        </r>
      </text>
    </comment>
    <comment ref="AX2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
</t>
        </r>
      </text>
    </comment>
    <comment ref="AX2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
</t>
        </r>
      </text>
    </comment>
    <comment ref="AX2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
</t>
        </r>
      </text>
    </comment>
    <comment ref="AX2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1/19已订
</t>
        </r>
      </text>
    </comment>
    <comment ref="AX31" authorId="2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AX32" authorId="2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AX33" authorId="2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AX34" authorId="2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AX35" authorId="2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AX36" authorId="2">
      <text>
        <r>
          <rPr>
            <b/>
            <sz val="9"/>
            <rFont val="宋体"/>
            <charset val="134"/>
          </rPr>
          <t>EVONNE:</t>
        </r>
        <r>
          <rPr>
            <sz val="9"/>
            <rFont val="宋体"/>
            <charset val="134"/>
          </rPr>
          <t xml:space="preserve">
RFID 3/5订</t>
        </r>
      </text>
    </comment>
    <comment ref="AX3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3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3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RFID，4/1订
有备品20张</t>
        </r>
      </text>
    </comment>
    <comment ref="AX49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X50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X51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X52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X53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X54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X55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X56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Y5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原SD5/26,6/1改</t>
        </r>
      </text>
    </comment>
    <comment ref="AX57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Y5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原SD5/26,6/1改</t>
        </r>
      </text>
    </comment>
    <comment ref="AX58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Y5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原SD5/26,6/1改</t>
        </r>
      </text>
    </comment>
    <comment ref="AX59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Y5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原SD5/26
6/1改</t>
        </r>
      </text>
    </comment>
    <comment ref="AX60" authorId="3">
      <text>
        <r>
          <rPr>
            <b/>
            <sz val="9"/>
            <rFont val="宋体"/>
            <charset val="134"/>
          </rPr>
          <t>RFID贴纸，4/14订</t>
        </r>
        <r>
          <rPr>
            <sz val="9"/>
            <rFont val="宋体"/>
            <charset val="134"/>
          </rPr>
          <t xml:space="preserve">
</t>
        </r>
      </text>
    </comment>
    <comment ref="AX62" authorId="3">
      <text>
        <r>
          <rPr>
            <sz val="9"/>
            <rFont val="宋体"/>
            <charset val="134"/>
          </rPr>
          <t>进口商贴纸，5/30订
半圆贴纸，6/3订</t>
        </r>
      </text>
    </comment>
    <comment ref="AX63" authorId="1">
      <text>
        <r>
          <rPr>
            <sz val="9"/>
            <rFont val="宋体"/>
            <charset val="134"/>
          </rPr>
          <t>RFID贴纸：6/11订</t>
        </r>
      </text>
    </comment>
    <comment ref="AX64" authorId="1">
      <text>
        <r>
          <rPr>
            <sz val="9"/>
            <rFont val="宋体"/>
            <charset val="134"/>
          </rPr>
          <t>RFID贴纸：6/11订</t>
        </r>
      </text>
    </comment>
    <comment ref="AX65" authorId="1">
      <text>
        <r>
          <rPr>
            <sz val="9"/>
            <rFont val="宋体"/>
            <charset val="134"/>
          </rPr>
          <t>RFID贴纸：6/11订</t>
        </r>
      </text>
    </comment>
    <comment ref="AX66" authorId="1">
      <text>
        <r>
          <rPr>
            <sz val="9"/>
            <rFont val="宋体"/>
            <charset val="134"/>
          </rPr>
          <t>RFID贴纸：6/11订</t>
        </r>
      </text>
    </comment>
    <comment ref="AX67" authorId="1">
      <text>
        <r>
          <rPr>
            <sz val="9"/>
            <rFont val="宋体"/>
            <charset val="134"/>
          </rPr>
          <t>RFID贴纸，5/11订</t>
        </r>
      </text>
    </comment>
    <comment ref="AY6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6/1改SD</t>
        </r>
      </text>
    </comment>
    <comment ref="AX68" authorId="1">
      <text>
        <r>
          <rPr>
            <sz val="9"/>
            <rFont val="宋体"/>
            <charset val="134"/>
          </rPr>
          <t>RFID贴纸，5/11订</t>
        </r>
      </text>
    </comment>
    <comment ref="AY6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6/1改SD</t>
        </r>
      </text>
    </comment>
    <comment ref="AX69" authorId="1">
      <text>
        <r>
          <rPr>
            <sz val="9"/>
            <rFont val="宋体"/>
            <charset val="134"/>
          </rPr>
          <t>RFID贴纸：6/11订</t>
        </r>
      </text>
    </comment>
    <comment ref="AX7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7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7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7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7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75" authorId="1">
      <text>
        <r>
          <rPr>
            <sz val="9"/>
            <rFont val="宋体"/>
            <charset val="134"/>
          </rPr>
          <t>RFID贴纸：6/11订</t>
        </r>
      </text>
    </comment>
    <comment ref="AX7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7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7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7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8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RFID：7/6订</t>
        </r>
      </text>
    </comment>
    <comment ref="AX9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9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10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RFID：7/6订</t>
        </r>
      </text>
    </comment>
    <comment ref="AX10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10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10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10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10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RFID:7/6订</t>
        </r>
      </text>
    </comment>
    <comment ref="AX10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0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0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0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1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1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1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1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1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2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2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2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RFID:7/28订</t>
        </r>
      </text>
    </comment>
    <comment ref="AX130" authorId="1">
      <text>
        <r>
          <rPr>
            <b/>
            <sz val="9"/>
            <rFont val="宋体"/>
            <charset val="134"/>
          </rPr>
          <t>RFID 9/10订</t>
        </r>
      </text>
    </comment>
    <comment ref="AX13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3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3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3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3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3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3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3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3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4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4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AX14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RFID 9/10订
</t>
        </r>
      </text>
    </comment>
    <comment ref="V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2025余下20004</t>
        </r>
      </text>
    </comment>
    <comment ref="W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2025余下20004</t>
        </r>
      </text>
    </comment>
    <comment ref="X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2025余下20004</t>
        </r>
      </text>
    </comment>
    <comment ref="Y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2025余下20004</t>
        </r>
      </text>
    </comment>
    <comment ref="Z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2025余下30084</t>
        </r>
      </text>
    </comment>
    <comment ref="AF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2025余下25208</t>
        </r>
      </text>
    </comment>
    <comment ref="AG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2025余下25208</t>
        </r>
      </text>
    </comment>
    <comment ref="AH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2025余下25208</t>
        </r>
      </text>
    </comment>
    <comment ref="AI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2025余下25208</t>
        </r>
      </text>
    </comment>
    <comment ref="AJ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2025余下25208</t>
        </r>
      </text>
    </comment>
    <comment ref="AK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2025余下25208</t>
        </r>
      </text>
    </comment>
    <comment ref="AL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2025余下33608</t>
        </r>
      </text>
    </comment>
    <comment ref="AM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2025余下33608</t>
        </r>
      </text>
    </comment>
    <comment ref="AN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2025余下33608</t>
        </r>
      </text>
    </comment>
    <comment ref="AO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2025余下33608</t>
        </r>
      </text>
    </comment>
    <comment ref="AP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2025余下33608</t>
        </r>
      </text>
    </comment>
    <comment ref="AQ14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2025余下33608</t>
        </r>
      </text>
    </comment>
  </commentList>
</comments>
</file>

<file path=xl/comments33.xml><?xml version="1.0" encoding="utf-8"?>
<comments xmlns="http://schemas.openxmlformats.org/spreadsheetml/2006/main">
  <authors>
    <author>Susan</author>
    <author>COUTURE</author>
  </authors>
  <commentList>
    <comment ref="AA2" authorId="0">
      <text>
        <r>
          <rPr>
            <sz val="9"/>
            <rFont val="宋体"/>
            <charset val="134"/>
          </rPr>
          <t xml:space="preserve">PDQ+吊牌+扎带
需同时下单，避免漏单
有胶袋也需要同时下单
</t>
        </r>
      </text>
    </comment>
    <comment ref="AG4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原11/18已验货</t>
        </r>
      </text>
    </comment>
    <comment ref="AB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11/14订扎带
12/25订胶袋</t>
        </r>
      </text>
    </comment>
    <comment ref="AF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1/12</t>
        </r>
      </text>
    </comment>
    <comment ref="AE7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3/27订胶袋</t>
        </r>
      </text>
    </comment>
    <comment ref="AE8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3/27订胶袋</t>
        </r>
      </text>
    </comment>
    <comment ref="AE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5/6订半圆贴纸</t>
        </r>
      </text>
    </comment>
    <comment ref="AE1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5/6订半圆贴纸</t>
        </r>
      </text>
    </comment>
    <comment ref="AE11" authorId="1">
      <text>
        <r>
          <rPr>
            <b/>
            <sz val="9"/>
            <rFont val="宋体"/>
            <charset val="134"/>
          </rPr>
          <t>半圆贴纸，5/21订
6/16重订</t>
        </r>
      </text>
    </comment>
    <comment ref="AE1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5/6订半圆贴纸</t>
        </r>
      </text>
    </comment>
    <comment ref="L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2025余下5001</t>
        </r>
      </text>
    </comment>
    <comment ref="M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2025余下5001</t>
        </r>
      </text>
    </comment>
    <comment ref="N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2025余下5001</t>
        </r>
      </text>
    </comment>
    <comment ref="O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2025余下5001</t>
        </r>
      </text>
    </comment>
    <comment ref="P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2025余下3334</t>
        </r>
      </text>
    </comment>
    <comment ref="Q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2025余下3334</t>
        </r>
      </text>
    </comment>
    <comment ref="R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2025余下3334</t>
        </r>
      </text>
    </comment>
    <comment ref="S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2025余下2784</t>
        </r>
      </text>
    </comment>
    <comment ref="T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2025余下2784</t>
        </r>
      </text>
    </comment>
    <comment ref="U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2025余下2784</t>
        </r>
      </text>
    </comment>
    <comment ref="V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2025余下2784</t>
        </r>
      </text>
    </comment>
    <comment ref="W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2025余下2784</t>
        </r>
      </text>
    </comment>
    <comment ref="X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2025余下2784</t>
        </r>
      </text>
    </comment>
  </commentList>
</comments>
</file>

<file path=xl/comments34.xml><?xml version="1.0" encoding="utf-8"?>
<comments xmlns="http://schemas.openxmlformats.org/spreadsheetml/2006/main">
  <authors>
    <author>COUTURE</author>
  </authors>
  <commentList>
    <comment ref="Y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原S/D 1/12</t>
        </r>
      </text>
    </comment>
    <comment ref="X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5/6订半圆贴纸</t>
        </r>
      </text>
    </comment>
    <comment ref="X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5/6订半圆贴纸</t>
        </r>
      </text>
    </comment>
    <comment ref="X1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5/6订半圆贴纸</t>
        </r>
      </text>
    </comment>
    <comment ref="L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2025余下11672</t>
        </r>
      </text>
    </comment>
    <comment ref="M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2025余下10338</t>
        </r>
      </text>
    </comment>
    <comment ref="N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2025余下14506</t>
        </r>
      </text>
    </comment>
    <comment ref="O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2025余下9879</t>
        </r>
      </text>
    </comment>
    <comment ref="P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2025余下9879</t>
        </r>
      </text>
    </comment>
  </commentList>
</comments>
</file>

<file path=xl/comments35.xml><?xml version="1.0" encoding="utf-8"?>
<comments xmlns="http://schemas.openxmlformats.org/spreadsheetml/2006/main">
  <authors>
    <author>COUTURE</author>
  </authors>
  <commentList>
    <comment ref="L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2025余下1989</t>
        </r>
      </text>
    </comment>
    <comment ref="M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2025余下848</t>
        </r>
      </text>
    </comment>
    <comment ref="N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2025余下847</t>
        </r>
      </text>
    </comment>
    <comment ref="O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2025余下375</t>
        </r>
      </text>
    </comment>
    <comment ref="P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2025余下375</t>
        </r>
      </text>
    </comment>
  </commentList>
</comments>
</file>

<file path=xl/comments36.xml><?xml version="1.0" encoding="utf-8"?>
<comments xmlns="http://schemas.openxmlformats.org/spreadsheetml/2006/main">
  <authors>
    <author>COUTURE</author>
  </authors>
  <commentList>
    <comment ref="T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用黑武士鸭子
UPC#886144330445</t>
        </r>
      </text>
    </comment>
  </commentList>
</comments>
</file>

<file path=xl/comments37.xml><?xml version="1.0" encoding="utf-8"?>
<comments xmlns="http://schemas.openxmlformats.org/spreadsheetml/2006/main">
  <authors>
    <author>COUTURE</author>
  </authors>
  <commentList>
    <comment ref="R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  <comment ref="R1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3/27下，先排稿，等放箱后再订纸箱</t>
        </r>
      </text>
    </comment>
  </commentList>
</comments>
</file>

<file path=xl/comments38.xml><?xml version="1.0" encoding="utf-8"?>
<comments xmlns="http://schemas.openxmlformats.org/spreadsheetml/2006/main">
  <authors>
    <author>WQF</author>
  </authors>
  <commentList>
    <comment ref="S5" authorId="0">
      <text>
        <r>
          <rPr>
            <b/>
            <sz val="9"/>
            <rFont val="宋体"/>
            <charset val="134"/>
          </rPr>
          <t>两种贴纸，4/23订</t>
        </r>
      </text>
    </comment>
  </commentList>
</comments>
</file>

<file path=xl/comments39.xml><?xml version="1.0" encoding="utf-8"?>
<comments xmlns="http://schemas.openxmlformats.org/spreadsheetml/2006/main">
  <authors>
    <author>COUTURE</author>
    <author>WQF</author>
    <author>KTY</author>
  </authors>
  <commentList>
    <comment ref="Y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</t>
        </r>
      </text>
    </comment>
    <comment ref="Y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</t>
        </r>
      </text>
    </comment>
    <comment ref="Y7" authorId="1">
      <text>
        <r>
          <rPr>
            <sz val="9"/>
            <rFont val="宋体"/>
            <charset val="134"/>
          </rPr>
          <t xml:space="preserve">贴纸，4/22订
</t>
        </r>
      </text>
    </comment>
    <comment ref="Y10" authorId="1">
      <text>
        <r>
          <rPr>
            <sz val="9"/>
            <rFont val="宋体"/>
            <charset val="134"/>
          </rPr>
          <t xml:space="preserve">CE贴纸，5/6订
</t>
        </r>
      </text>
    </comment>
    <comment ref="Y1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</t>
        </r>
      </text>
    </comment>
    <comment ref="Y15" authorId="1">
      <text>
        <r>
          <rPr>
            <b/>
            <sz val="9"/>
            <rFont val="宋体"/>
            <charset val="134"/>
          </rPr>
          <t xml:space="preserve">外箱贴纸，5/18订
进口商吊牌，7/8订
</t>
        </r>
      </text>
    </comment>
    <comment ref="Y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Y1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Y22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外箱贴纸+进口商吊牌，6/29订</t>
        </r>
      </text>
    </comment>
    <comment ref="Y25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外箱贴纸+进口商吊牌，6/29订</t>
        </r>
      </text>
    </comment>
  </commentList>
</comments>
</file>

<file path=xl/comments40.xml><?xml version="1.0" encoding="utf-8"?>
<comments xmlns="http://schemas.openxmlformats.org/spreadsheetml/2006/main">
  <authors>
    <author>COUTURE</author>
    <author>WQF</author>
    <author>KTY</author>
  </authors>
  <commentList>
    <comment ref="Y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贴纸4/14订</t>
        </r>
      </text>
    </comment>
    <comment ref="Y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</t>
        </r>
      </text>
    </comment>
    <comment ref="Y7" authorId="1">
      <text>
        <r>
          <rPr>
            <b/>
            <sz val="9"/>
            <rFont val="宋体"/>
            <charset val="134"/>
          </rPr>
          <t>CE贴纸，5/12订</t>
        </r>
      </text>
    </comment>
    <comment ref="Y8" authorId="1">
      <text>
        <r>
          <rPr>
            <b/>
            <sz val="9"/>
            <rFont val="宋体"/>
            <charset val="134"/>
          </rPr>
          <t>CE贴纸，5/12订</t>
        </r>
      </text>
    </comment>
    <comment ref="Y9" authorId="1">
      <text>
        <r>
          <rPr>
            <b/>
            <sz val="9"/>
            <rFont val="宋体"/>
            <charset val="134"/>
          </rPr>
          <t>CE贴纸，5/12订</t>
        </r>
      </text>
    </comment>
    <comment ref="Y10" authorId="1">
      <text>
        <r>
          <rPr>
            <sz val="9"/>
            <rFont val="宋体"/>
            <charset val="134"/>
          </rPr>
          <t xml:space="preserve">CE贴纸，5/9订
</t>
        </r>
      </text>
    </comment>
    <comment ref="Y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</t>
        </r>
      </text>
    </comment>
    <comment ref="Y13" authorId="1">
      <text>
        <r>
          <rPr>
            <sz val="9"/>
            <rFont val="宋体"/>
            <charset val="134"/>
          </rPr>
          <t xml:space="preserve">CE贴纸，5/6订
</t>
        </r>
      </text>
    </comment>
    <comment ref="Y15" authorId="1">
      <text>
        <r>
          <rPr>
            <sz val="9"/>
            <rFont val="宋体"/>
            <charset val="134"/>
          </rPr>
          <t xml:space="preserve">CE贴纸，5/6订
</t>
        </r>
      </text>
    </comment>
    <comment ref="Y16" authorId="1">
      <text>
        <r>
          <rPr>
            <sz val="9"/>
            <rFont val="宋体"/>
            <charset val="134"/>
          </rPr>
          <t xml:space="preserve">CE贴纸，5/6订
</t>
        </r>
      </text>
    </comment>
    <comment ref="Y19" authorId="0">
      <text>
        <r>
          <rPr>
            <sz val="9"/>
            <rFont val="宋体"/>
            <charset val="134"/>
          </rPr>
          <t xml:space="preserve">CE贴纸，6/3订
</t>
        </r>
      </text>
    </comment>
    <comment ref="Y20" authorId="1">
      <text>
        <r>
          <rPr>
            <sz val="9"/>
            <rFont val="宋体"/>
            <charset val="134"/>
          </rPr>
          <t xml:space="preserve">CE贴纸，5/9订
</t>
        </r>
      </text>
    </comment>
    <comment ref="Y21" authorId="1">
      <text>
        <r>
          <rPr>
            <b/>
            <sz val="9"/>
            <rFont val="宋体"/>
            <charset val="134"/>
          </rPr>
          <t>外箱贴纸，5/18订
进口商吊牌，7/8订</t>
        </r>
      </text>
    </comment>
    <comment ref="Y2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Y2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Y26" authorId="1">
      <text>
        <r>
          <rPr>
            <sz val="9"/>
            <rFont val="宋体"/>
            <charset val="134"/>
          </rPr>
          <t xml:space="preserve">CE贴纸，5/6订
</t>
        </r>
      </text>
    </comment>
    <comment ref="Y28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外箱贴纸+进口商吊牌，6/29订</t>
        </r>
      </text>
    </comment>
    <comment ref="Y2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CE贴纸：7/20订</t>
        </r>
      </text>
    </comment>
    <comment ref="Y31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外箱贴纸+进口商吊牌，6/29订，客已付款</t>
        </r>
      </text>
    </comment>
  </commentList>
</comments>
</file>

<file path=xl/comments41.xml><?xml version="1.0" encoding="utf-8"?>
<comments xmlns="http://schemas.openxmlformats.org/spreadsheetml/2006/main">
  <authors>
    <author>COUTURE</author>
    <author>WQF</author>
  </authors>
  <commentList>
    <comment ref="R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原3L，12/2PD通知改8L</t>
        </r>
      </text>
    </comment>
    <comment ref="Y10" authorId="1">
      <text>
        <r>
          <rPr>
            <sz val="9"/>
            <rFont val="宋体"/>
            <charset val="134"/>
          </rPr>
          <t xml:space="preserve">外箱贴纸+进口商吊牌3/5订
</t>
        </r>
      </text>
    </comment>
    <comment ref="Y11" authorId="1">
      <text>
        <r>
          <rPr>
            <b/>
            <sz val="9"/>
            <rFont val="宋体"/>
            <charset val="134"/>
          </rPr>
          <t>CE贴纸，5/12订</t>
        </r>
      </text>
    </comment>
    <comment ref="Y13" authorId="1">
      <text>
        <r>
          <rPr>
            <b/>
            <sz val="9"/>
            <rFont val="宋体"/>
            <charset val="134"/>
          </rPr>
          <t>CE贴纸，5/12订</t>
        </r>
      </text>
    </comment>
    <comment ref="Y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L2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  <comment ref="M2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  <comment ref="N2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  <comment ref="O2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  <comment ref="P2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</commentList>
</comments>
</file>

<file path=xl/comments42.xml><?xml version="1.0" encoding="utf-8"?>
<comments xmlns="http://schemas.openxmlformats.org/spreadsheetml/2006/main">
  <authors>
    <author>COUTURE</author>
  </authors>
  <commentList>
    <comment ref="Y10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CE贴纸，5/18订</t>
        </r>
      </text>
    </comment>
    <comment ref="Y19" authorId="0">
      <text>
        <r>
          <rPr>
            <sz val="9"/>
            <rFont val="宋体"/>
            <charset val="134"/>
          </rPr>
          <t xml:space="preserve">CE贴纸：8/30订
</t>
        </r>
      </text>
    </comment>
    <comment ref="L2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2025余下3700</t>
        </r>
      </text>
    </comment>
    <comment ref="M2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2025余下3700</t>
        </r>
      </text>
    </comment>
    <comment ref="N2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2025余下3700</t>
        </r>
      </text>
    </comment>
    <comment ref="O2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2025余下3700</t>
        </r>
      </text>
    </comment>
    <comment ref="P2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2025余下3700</t>
        </r>
      </text>
    </comment>
  </commentList>
</comments>
</file>

<file path=xl/comments43.xml><?xml version="1.0" encoding="utf-8"?>
<comments xmlns="http://schemas.openxmlformats.org/spreadsheetml/2006/main">
  <authors>
    <author>COUTURE</author>
    <author>WQF</author>
    <author>KTY</author>
  </authors>
  <commentList>
    <comment ref="R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原3L，12/2PD通知改8L</t>
        </r>
      </text>
    </comment>
    <comment ref="Z10" authorId="1">
      <text>
        <r>
          <rPr>
            <sz val="9"/>
            <rFont val="宋体"/>
            <charset val="134"/>
          </rPr>
          <t>外箱贴纸+进口商吊牌3/5订</t>
        </r>
      </text>
    </comment>
    <comment ref="Z1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贴纸4/14订</t>
        </r>
      </text>
    </comment>
    <comment ref="Z12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</t>
        </r>
      </text>
    </comment>
    <comment ref="Z16" authorId="1">
      <text>
        <r>
          <rPr>
            <sz val="9"/>
            <rFont val="宋体"/>
            <charset val="134"/>
          </rPr>
          <t xml:space="preserve">CE贴纸，5/9订
</t>
        </r>
      </text>
    </comment>
    <comment ref="Z1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</t>
        </r>
      </text>
    </comment>
    <comment ref="Z2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CE贴纸，5/18订</t>
        </r>
      </text>
    </comment>
    <comment ref="Z23" authorId="0">
      <text>
        <r>
          <rPr>
            <sz val="9"/>
            <rFont val="宋体"/>
            <charset val="134"/>
          </rPr>
          <t>两种贴纸，6/3订</t>
        </r>
      </text>
    </comment>
    <comment ref="Z24" authorId="1">
      <text>
        <r>
          <rPr>
            <sz val="9"/>
            <rFont val="宋体"/>
            <charset val="134"/>
          </rPr>
          <t xml:space="preserve">CE贴纸，5/9订
</t>
        </r>
      </text>
    </comment>
    <comment ref="Z25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外箱贴纸，5/18订
进口商吊牌，7/8订</t>
        </r>
      </text>
    </comment>
    <comment ref="Z2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Z2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Z28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外箱贴纸+进口商吊牌，6/29订</t>
        </r>
      </text>
    </comment>
    <comment ref="Z32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外箱贴纸+进口商吊牌，6/29订</t>
        </r>
      </text>
    </comment>
    <comment ref="Z36" authorId="0">
      <text>
        <r>
          <rPr>
            <sz val="9"/>
            <rFont val="宋体"/>
            <charset val="134"/>
          </rPr>
          <t xml:space="preserve">CE贴纸：8/30订
</t>
        </r>
      </text>
    </comment>
    <comment ref="Z37" authorId="0">
      <text>
        <r>
          <rPr>
            <sz val="9"/>
            <rFont val="宋体"/>
            <charset val="134"/>
          </rPr>
          <t>2张 CE贴纸 9/4订</t>
        </r>
      </text>
    </comment>
    <comment ref="Z38" authorId="0">
      <text>
        <r>
          <rPr>
            <sz val="9"/>
            <rFont val="宋体"/>
            <charset val="134"/>
          </rPr>
          <t>2张 CE贴纸 9/4订</t>
        </r>
      </text>
    </comment>
    <comment ref="Z39" authorId="0">
      <text>
        <r>
          <rPr>
            <sz val="9"/>
            <rFont val="宋体"/>
            <charset val="134"/>
          </rPr>
          <t>2张 CE贴纸 9/4订</t>
        </r>
      </text>
    </comment>
    <comment ref="Z40" authorId="0">
      <text>
        <r>
          <rPr>
            <sz val="9"/>
            <rFont val="宋体"/>
            <charset val="134"/>
          </rPr>
          <t>2张 CE贴纸 9/4订</t>
        </r>
      </text>
    </comment>
    <comment ref="Z41" authorId="0">
      <text>
        <r>
          <rPr>
            <sz val="9"/>
            <rFont val="宋体"/>
            <charset val="134"/>
          </rPr>
          <t>2张 CE贴纸 9/4订</t>
        </r>
      </text>
    </comment>
    <comment ref="Z42" authorId="0">
      <text>
        <r>
          <rPr>
            <sz val="9"/>
            <rFont val="宋体"/>
            <charset val="134"/>
          </rPr>
          <t>2张 CE贴纸 9/4订</t>
        </r>
      </text>
    </comment>
    <comment ref="Z44" authorId="0">
      <text>
        <r>
          <rPr>
            <b/>
            <sz val="9"/>
            <rFont val="宋体"/>
            <charset val="134"/>
          </rPr>
          <t>2张 CE贴纸 9/4订</t>
        </r>
      </text>
    </comment>
    <comment ref="Z45" authorId="0">
      <text>
        <r>
          <rPr>
            <b/>
            <sz val="9"/>
            <rFont val="宋体"/>
            <charset val="134"/>
          </rPr>
          <t>2张 CE贴纸 9/4订</t>
        </r>
      </text>
    </comment>
    <comment ref="L5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2025余下9500</t>
        </r>
      </text>
    </comment>
    <comment ref="M5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2025余下9500</t>
        </r>
      </text>
    </comment>
    <comment ref="N5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2025余下9500</t>
        </r>
      </text>
    </comment>
    <comment ref="O5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2025余下9500</t>
        </r>
      </text>
    </comment>
    <comment ref="P5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2025余下9500</t>
        </r>
      </text>
    </comment>
  </commentList>
</comments>
</file>

<file path=xl/comments44.xml><?xml version="1.0" encoding="utf-8"?>
<comments xmlns="http://schemas.openxmlformats.org/spreadsheetml/2006/main">
  <authors>
    <author>COUTURE</author>
    <author>WQF</author>
  </authors>
  <commentList>
    <comment ref="L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原询单4080</t>
        </r>
      </text>
    </comment>
    <comment ref="Y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贴纸4/14订</t>
        </r>
      </text>
    </comment>
    <comment ref="Y11" authorId="1">
      <text>
        <r>
          <rPr>
            <sz val="9"/>
            <rFont val="宋体"/>
            <charset val="134"/>
          </rPr>
          <t xml:space="preserve">CE贴纸，5/9订
</t>
        </r>
      </text>
    </comment>
    <comment ref="Y12" authorId="1">
      <text>
        <r>
          <rPr>
            <sz val="9"/>
            <rFont val="宋体"/>
            <charset val="134"/>
          </rPr>
          <t xml:space="preserve">CE贴纸，5/6订
</t>
        </r>
      </text>
    </comment>
    <comment ref="Y15" authorId="1">
      <text>
        <r>
          <rPr>
            <b/>
            <sz val="9"/>
            <rFont val="宋体"/>
            <charset val="134"/>
          </rPr>
          <t>CE贴纸，4/23订</t>
        </r>
      </text>
    </comment>
    <comment ref="Y16" authorId="1">
      <text>
        <r>
          <rPr>
            <sz val="9"/>
            <rFont val="宋体"/>
            <charset val="134"/>
          </rPr>
          <t xml:space="preserve">CE贴纸+进口商贴纸，5/9订
</t>
        </r>
      </text>
    </comment>
    <comment ref="Y1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CE贴纸，5/18订</t>
        </r>
      </text>
    </comment>
    <comment ref="Y20" authorId="1">
      <text>
        <r>
          <rPr>
            <sz val="9"/>
            <rFont val="宋体"/>
            <charset val="134"/>
          </rPr>
          <t xml:space="preserve">CE贴纸，5/9订
</t>
        </r>
      </text>
    </comment>
    <comment ref="Y2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Y23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L4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2025余下3580</t>
        </r>
      </text>
    </comment>
    <comment ref="M4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2025余下3580</t>
        </r>
      </text>
    </comment>
    <comment ref="N4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2025余下3580</t>
        </r>
      </text>
    </comment>
    <comment ref="O4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2025余下3580</t>
        </r>
      </text>
    </comment>
    <comment ref="P41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2025余下3580</t>
        </r>
      </text>
    </comment>
  </commentList>
</comments>
</file>

<file path=xl/comments45.xml><?xml version="1.0" encoding="utf-8"?>
<comments xmlns="http://schemas.openxmlformats.org/spreadsheetml/2006/main">
  <authors>
    <author>WQF</author>
    <author>COUTURE</author>
  </authors>
  <commentList>
    <comment ref="Z8" authorId="0">
      <text>
        <r>
          <rPr>
            <sz val="9"/>
            <rFont val="宋体"/>
            <charset val="134"/>
          </rPr>
          <t>外箱贴纸+进口商吊牌3/5订</t>
        </r>
      </text>
    </comment>
    <comment ref="Z11" authorId="0">
      <text>
        <r>
          <rPr>
            <sz val="9"/>
            <rFont val="宋体"/>
            <charset val="134"/>
          </rPr>
          <t xml:space="preserve">CE贴纸，5/9订
</t>
        </r>
      </text>
    </comment>
    <comment ref="Z12" authorId="0">
      <text>
        <r>
          <rPr>
            <sz val="9"/>
            <rFont val="宋体"/>
            <charset val="134"/>
          </rPr>
          <t xml:space="preserve">CE贴纸，5/6订
</t>
        </r>
      </text>
    </comment>
    <comment ref="Z16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CE贴纸，5/18订</t>
        </r>
      </text>
    </comment>
    <comment ref="Z18" authorId="0">
      <text>
        <r>
          <rPr>
            <sz val="9"/>
            <rFont val="宋体"/>
            <charset val="134"/>
          </rPr>
          <t xml:space="preserve">CE贴纸，5/9订
</t>
        </r>
      </text>
    </comment>
    <comment ref="Z20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Z21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Z22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CE贴纸：6/12订</t>
        </r>
      </text>
    </comment>
    <comment ref="Z23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CE贴纸：6/12订</t>
        </r>
      </text>
    </comment>
    <comment ref="Z30" authorId="1">
      <text>
        <r>
          <rPr>
            <sz val="9"/>
            <rFont val="宋体"/>
            <charset val="134"/>
          </rPr>
          <t xml:space="preserve">CE贴纸：8/30订
</t>
        </r>
      </text>
    </comment>
    <comment ref="Z31" authorId="1">
      <text>
        <r>
          <rPr>
            <sz val="9"/>
            <rFont val="宋体"/>
            <charset val="134"/>
          </rPr>
          <t xml:space="preserve">CE贴纸：8/30订
</t>
        </r>
      </text>
    </comment>
    <comment ref="Z32" authorId="1">
      <text>
        <r>
          <rPr>
            <sz val="9"/>
            <rFont val="宋体"/>
            <charset val="134"/>
          </rPr>
          <t>2张 CE贴纸 9/4订</t>
        </r>
      </text>
    </comment>
    <comment ref="Z33" authorId="1">
      <text>
        <r>
          <rPr>
            <sz val="9"/>
            <rFont val="宋体"/>
            <charset val="134"/>
          </rPr>
          <t>2张 CE贴纸 9/4订</t>
        </r>
      </text>
    </comment>
    <comment ref="Z34" authorId="1">
      <text>
        <r>
          <rPr>
            <sz val="9"/>
            <rFont val="宋体"/>
            <charset val="134"/>
          </rPr>
          <t>2张 CE贴纸 9/4订</t>
        </r>
      </text>
    </comment>
    <comment ref="Z35" authorId="1">
      <text>
        <r>
          <rPr>
            <sz val="9"/>
            <rFont val="宋体"/>
            <charset val="134"/>
          </rPr>
          <t>2张 CE贴纸 9/4订</t>
        </r>
      </text>
    </comment>
    <comment ref="Z36" authorId="1">
      <text>
        <r>
          <rPr>
            <sz val="9"/>
            <rFont val="宋体"/>
            <charset val="134"/>
          </rPr>
          <t>2张 CE贴纸 9/4订</t>
        </r>
      </text>
    </comment>
    <comment ref="L4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  <comment ref="M4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  <comment ref="N4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  <comment ref="O4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  <comment ref="P45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2025余下5000</t>
        </r>
      </text>
    </comment>
  </commentList>
</comments>
</file>

<file path=xl/comments46.xml><?xml version="1.0" encoding="utf-8"?>
<comments xmlns="http://schemas.openxmlformats.org/spreadsheetml/2006/main">
  <authors>
    <author>WQF</author>
    <author>COUTURE</author>
  </authors>
  <commentList>
    <comment ref="Y6" authorId="0">
      <text>
        <r>
          <rPr>
            <sz val="9"/>
            <rFont val="宋体"/>
            <charset val="134"/>
          </rPr>
          <t>进口商吊牌 3/5订
取消订单，吊牌用于PO#02888</t>
        </r>
      </text>
    </comment>
    <comment ref="Y7" authorId="0">
      <text>
        <r>
          <rPr>
            <sz val="9"/>
            <rFont val="宋体"/>
            <charset val="134"/>
          </rPr>
          <t>外箱贴纸，5/18订
PO#02891取消订单，专用吊牌3/5已定，用于此单，7/8补订吊牌918个</t>
        </r>
      </text>
    </comment>
    <comment ref="Y9" authorId="0">
      <text>
        <r>
          <rPr>
            <sz val="9"/>
            <rFont val="宋体"/>
            <charset val="134"/>
          </rPr>
          <t>进口商吊牌 3/5订
外箱贴纸 5/18订</t>
        </r>
      </text>
    </comment>
    <comment ref="Y12" authorId="0">
      <text>
        <r>
          <rPr>
            <sz val="9"/>
            <rFont val="宋体"/>
            <charset val="134"/>
          </rPr>
          <t>进口商吊牌 3/5订
外箱贴纸，5/18订</t>
        </r>
      </text>
    </comment>
    <comment ref="Y13" authorId="0">
      <text>
        <r>
          <rPr>
            <sz val="9"/>
            <rFont val="宋体"/>
            <charset val="134"/>
          </rPr>
          <t>进口商吊牌 3/5订</t>
        </r>
      </text>
    </comment>
    <comment ref="Y16" authorId="0">
      <text>
        <r>
          <rPr>
            <sz val="9"/>
            <rFont val="宋体"/>
            <charset val="134"/>
          </rPr>
          <t>进口商吊牌 3/5订</t>
        </r>
      </text>
    </comment>
    <comment ref="L1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2025余下2040</t>
        </r>
      </text>
    </comment>
    <comment ref="M1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2025余下2040</t>
        </r>
      </text>
    </comment>
    <comment ref="N1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2025余下2040</t>
        </r>
      </text>
    </comment>
    <comment ref="O1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2025余下2040</t>
        </r>
      </text>
    </comment>
    <comment ref="P19" authorId="1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2025余下2040</t>
        </r>
      </text>
    </comment>
  </commentList>
</comments>
</file>

<file path=xl/comments47.xml><?xml version="1.0" encoding="utf-8"?>
<comments xmlns="http://schemas.openxmlformats.org/spreadsheetml/2006/main">
  <authors>
    <author>COUTURE</author>
    <author>WQF</author>
    <author>KTY</author>
  </authors>
  <commentList>
    <comment ref="R9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原3L，12/2PD通知改8L</t>
        </r>
      </text>
    </comment>
    <comment ref="Z14" authorId="1">
      <text>
        <r>
          <rPr>
            <sz val="9"/>
            <rFont val="宋体"/>
            <charset val="134"/>
          </rPr>
          <t>外箱贴纸+进口商吊牌3/5订</t>
        </r>
      </text>
    </comment>
    <comment ref="Z1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贴纸4/14订</t>
        </r>
      </text>
    </comment>
    <comment ref="Z16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 </t>
        </r>
      </text>
    </comment>
    <comment ref="Z19" authorId="1">
      <text>
        <r>
          <rPr>
            <b/>
            <sz val="9"/>
            <rFont val="宋体"/>
            <charset val="134"/>
          </rPr>
          <t>CE贴纸，5/12订</t>
        </r>
      </text>
    </comment>
    <comment ref="Z20" authorId="1">
      <text>
        <r>
          <rPr>
            <b/>
            <sz val="9"/>
            <rFont val="宋体"/>
            <charset val="134"/>
          </rPr>
          <t>CE贴纸，5/12订</t>
        </r>
      </text>
    </comment>
    <comment ref="Z21" authorId="1">
      <text>
        <r>
          <rPr>
            <b/>
            <sz val="9"/>
            <rFont val="宋体"/>
            <charset val="134"/>
          </rPr>
          <t>CE贴纸，5/12订</t>
        </r>
      </text>
    </comment>
    <comment ref="Z24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外箱贴纸+吊牌，4/8订 </t>
        </r>
      </text>
    </comment>
    <comment ref="Z27" authorId="1">
      <text>
        <r>
          <rPr>
            <sz val="9"/>
            <rFont val="宋体"/>
            <charset val="134"/>
          </rPr>
          <t xml:space="preserve">CE贴纸，4/23订
</t>
        </r>
      </text>
    </comment>
    <comment ref="Z29" authorId="0">
      <text>
        <r>
          <rPr>
            <sz val="9"/>
            <rFont val="宋体"/>
            <charset val="134"/>
          </rPr>
          <t xml:space="preserve">CE贴纸，6/3订
</t>
        </r>
      </text>
    </comment>
    <comment ref="V33" authorId="0">
      <text>
        <r>
          <rPr>
            <b/>
            <sz val="9"/>
            <rFont val="宋体"/>
            <charset val="134"/>
          </rPr>
          <t xml:space="preserve">COUTURE:
</t>
        </r>
        <r>
          <rPr>
            <sz val="9"/>
            <rFont val="宋体"/>
            <charset val="134"/>
          </rPr>
          <t>重复订854套</t>
        </r>
      </text>
    </comment>
    <comment ref="Z33" authorId="0">
      <text>
        <r>
          <rPr>
            <sz val="9"/>
            <rFont val="宋体"/>
            <charset val="134"/>
          </rPr>
          <t>两种贴纸，6/3订</t>
        </r>
      </text>
    </comment>
    <comment ref="Z34" authorId="0">
      <text>
        <r>
          <rPr>
            <sz val="9"/>
            <rFont val="宋体"/>
            <charset val="134"/>
          </rPr>
          <t xml:space="preserve">外箱贴纸+吊牌，6/3订
</t>
        </r>
      </text>
    </comment>
    <comment ref="Z3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CE贴纸，6/12订</t>
        </r>
      </text>
    </comment>
    <comment ref="Z36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外箱贴纸+进口商吊牌，6/29订</t>
        </r>
      </text>
    </comment>
    <comment ref="V3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用46092，PO#09373在6/3重复订的854套物料</t>
        </r>
      </text>
    </comment>
    <comment ref="Z37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CE贴纸：7/20订
</t>
        </r>
      </text>
    </comment>
    <comment ref="V3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用46092，PO#09373在6/3重复订的854套物料</t>
        </r>
      </text>
    </comment>
    <comment ref="Z38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CE贴纸： 7/28订</t>
        </r>
      </text>
    </comment>
    <comment ref="Z40" authorId="2">
      <text>
        <r>
          <rPr>
            <b/>
            <sz val="9"/>
            <rFont val="宋体"/>
            <charset val="134"/>
          </rPr>
          <t>KTY:</t>
        </r>
        <r>
          <rPr>
            <sz val="9"/>
            <rFont val="宋体"/>
            <charset val="134"/>
          </rPr>
          <t xml:space="preserve">
外箱贴纸+进口商吊牌，6/29订</t>
        </r>
      </text>
    </comment>
    <comment ref="Z44" authorId="0">
      <text>
        <r>
          <rPr>
            <sz val="9"/>
            <rFont val="宋体"/>
            <charset val="134"/>
          </rPr>
          <t>CE贴纸：8/30订</t>
        </r>
      </text>
    </comment>
    <comment ref="Z45" authorId="0">
      <text>
        <r>
          <rPr>
            <sz val="9"/>
            <rFont val="宋体"/>
            <charset val="134"/>
          </rPr>
          <t>CE贴纸：8/30订</t>
        </r>
      </text>
    </comment>
    <comment ref="Z46" authorId="0">
      <text>
        <r>
          <rPr>
            <sz val="9"/>
            <rFont val="宋体"/>
            <charset val="134"/>
          </rPr>
          <t xml:space="preserve">CE贴纸：8/30订
</t>
        </r>
      </text>
    </comment>
    <comment ref="Z47" authorId="0">
      <text>
        <r>
          <rPr>
            <sz val="9"/>
            <rFont val="宋体"/>
            <charset val="134"/>
          </rPr>
          <t xml:space="preserve">2张 CE贴纸 9/4订
</t>
        </r>
      </text>
    </comment>
    <comment ref="Z48" authorId="0">
      <text>
        <r>
          <rPr>
            <sz val="9"/>
            <rFont val="宋体"/>
            <charset val="134"/>
          </rPr>
          <t>2张 CE贴纸 9/4订</t>
        </r>
      </text>
    </comment>
    <comment ref="Z49" authorId="0">
      <text>
        <r>
          <rPr>
            <sz val="9"/>
            <rFont val="宋体"/>
            <charset val="134"/>
          </rPr>
          <t>2张 CE贴纸 9/4订</t>
        </r>
      </text>
    </comment>
    <comment ref="Z50" authorId="0">
      <text>
        <r>
          <rPr>
            <sz val="9"/>
            <rFont val="宋体"/>
            <charset val="134"/>
          </rPr>
          <t>2张 CE贴纸 9/4订</t>
        </r>
      </text>
    </comment>
    <comment ref="L6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2025余下16946</t>
        </r>
      </text>
    </comment>
    <comment ref="M6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2025余下16946</t>
        </r>
      </text>
    </comment>
    <comment ref="N6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2025余下16946</t>
        </r>
      </text>
    </comment>
    <comment ref="O6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2025余下16946</t>
        </r>
      </text>
    </comment>
    <comment ref="P65" authorId="0">
      <text>
        <r>
          <rPr>
            <b/>
            <sz val="9"/>
            <rFont val="宋体"/>
            <charset val="134"/>
          </rPr>
          <t>COUTURE:</t>
        </r>
        <r>
          <rPr>
            <sz val="9"/>
            <rFont val="宋体"/>
            <charset val="134"/>
          </rPr>
          <t xml:space="preserve">
2025余下16946</t>
        </r>
      </text>
    </comment>
  </commentList>
</comments>
</file>

<file path=xl/sharedStrings.xml><?xml version="1.0" encoding="utf-8"?>
<sst xmlns="http://schemas.openxmlformats.org/spreadsheetml/2006/main" count="22685" uniqueCount="4694">
  <si>
    <t>2026年 #33835 小鸭子系列 38款订单汇总表</t>
  </si>
  <si>
    <t>更新日期：</t>
  </si>
  <si>
    <t>序号</t>
  </si>
  <si>
    <t>客户</t>
  </si>
  <si>
    <t>客下单人</t>
  </si>
  <si>
    <t>生产订单号</t>
  </si>
  <si>
    <t>销售订单号</t>
  </si>
  <si>
    <t>JP询单日期</t>
  </si>
  <si>
    <t>询单要求交期</t>
  </si>
  <si>
    <t>确认交期</t>
  </si>
  <si>
    <t>下单日期</t>
  </si>
  <si>
    <t>订单数量</t>
  </si>
  <si>
    <t>包装数量</t>
  </si>
  <si>
    <t>每款比例分配</t>
  </si>
  <si>
    <t>产品日期码</t>
  </si>
  <si>
    <t>吊牌版本</t>
  </si>
  <si>
    <t>吊牌</t>
  </si>
  <si>
    <t>展示架</t>
  </si>
  <si>
    <t>扎带</t>
  </si>
  <si>
    <t>外箱</t>
  </si>
  <si>
    <t>包装日期码</t>
  </si>
  <si>
    <t>包装要求</t>
  </si>
  <si>
    <t xml:space="preserve"> 客人出货期</t>
  </si>
  <si>
    <t>JP验货期</t>
  </si>
  <si>
    <t>第三方验货</t>
  </si>
  <si>
    <t>是否出货</t>
  </si>
  <si>
    <t>客PO#</t>
  </si>
  <si>
    <t>33417
米奇</t>
  </si>
  <si>
    <t>33416
史迪仔</t>
  </si>
  <si>
    <t>33486
莫阿娜</t>
  </si>
  <si>
    <t>33538
普亚猪</t>
  </si>
  <si>
    <t>33480
草莓熊</t>
  </si>
  <si>
    <t>33481
胡迪</t>
  </si>
  <si>
    <t>33421
老虎</t>
  </si>
  <si>
    <t>33420
维尼熊</t>
  </si>
  <si>
    <t>33479
三眼外星人</t>
  </si>
  <si>
    <t>33478
巴斯</t>
  </si>
  <si>
    <t>33483
乐乐</t>
  </si>
  <si>
    <t>33516
阿焦</t>
  </si>
  <si>
    <t>33419
唐老鸭</t>
  </si>
  <si>
    <t>33422
黛西</t>
  </si>
  <si>
    <t>33519
粉色米妮</t>
  </si>
  <si>
    <t>33476 
天使</t>
  </si>
  <si>
    <t>33477
外星史迪仔</t>
  </si>
  <si>
    <t>33482
铁钩船长</t>
  </si>
  <si>
    <t>33484
黑魔后</t>
  </si>
  <si>
    <t>33497
霸王龙</t>
  </si>
  <si>
    <t>33498
蓝鲸</t>
  </si>
  <si>
    <t>33493
史力加</t>
  </si>
  <si>
    <t>33494
灰驴</t>
  </si>
  <si>
    <t>33523
八爪鱼</t>
  </si>
  <si>
    <t>33505
酷比狗</t>
  </si>
  <si>
    <t>33506
沙吉</t>
  </si>
  <si>
    <t>33491
宾尼兔</t>
  </si>
  <si>
    <t>33492
翠迪鸟</t>
  </si>
  <si>
    <t>33508
变形金刚</t>
  </si>
  <si>
    <t>33507
 大黄蜂</t>
  </si>
  <si>
    <t>26871
发明家</t>
  </si>
  <si>
    <t>26872
大法师</t>
  </si>
  <si>
    <t>26873
IT潘尼</t>
  </si>
  <si>
    <t>26851
超人</t>
  </si>
  <si>
    <t>26852
女侠</t>
  </si>
  <si>
    <t>26853
蝙蝠侠</t>
  </si>
  <si>
    <t>26854
小丑</t>
  </si>
  <si>
    <t>26855
闪电侠</t>
  </si>
  <si>
    <t>长编号</t>
  </si>
  <si>
    <t>合计</t>
  </si>
  <si>
    <t>总MA单剩余数：</t>
  </si>
  <si>
    <t>提醒：橙色为询单</t>
  </si>
  <si>
    <t>2026年 #11839  磁铁肩膀史迪仔订单汇总表</t>
  </si>
  <si>
    <t>布标</t>
  </si>
  <si>
    <t>彩盒</t>
  </si>
  <si>
    <t>磁铁</t>
  </si>
  <si>
    <t>日期码</t>
  </si>
  <si>
    <t>版本</t>
  </si>
  <si>
    <t>订购日期</t>
  </si>
  <si>
    <t xml:space="preserve"> Winners</t>
  </si>
  <si>
    <t>Carol</t>
  </si>
  <si>
    <t>POHK-26-03267</t>
  </si>
  <si>
    <t>XSDD000234</t>
  </si>
  <si>
    <t>0926KTY01</t>
  </si>
  <si>
    <t>3L</t>
  </si>
  <si>
    <t>用库存</t>
  </si>
  <si>
    <t>3/24下</t>
  </si>
  <si>
    <t>/</t>
  </si>
  <si>
    <t>1PC/彩盒，8PC/外箱</t>
  </si>
  <si>
    <t>11839-000-1A-008-OPB</t>
  </si>
  <si>
    <t>POHK-26-03316</t>
  </si>
  <si>
    <t>XSDD000233</t>
  </si>
  <si>
    <t>MO</t>
  </si>
  <si>
    <t>PKG</t>
  </si>
  <si>
    <t>2026年  #14265 钥匙扣系列6款 订单汇总表</t>
  </si>
  <si>
    <t>吊牌+
彩盒</t>
  </si>
  <si>
    <t>胶袋/
胶针</t>
  </si>
  <si>
    <t>#11747
米奇</t>
  </si>
  <si>
    <t>11749
米妮</t>
  </si>
  <si>
    <t>#11761
史迪仔</t>
  </si>
  <si>
    <t>#11762
天使</t>
  </si>
  <si>
    <t>#11763
维尼熊</t>
  </si>
  <si>
    <t>#11764
老虎</t>
  </si>
  <si>
    <t>Disney Theme Park</t>
  </si>
  <si>
    <t>Calvy</t>
  </si>
  <si>
    <t>POHK-25-20703</t>
  </si>
  <si>
    <t>FAC-116985-25342</t>
  </si>
  <si>
    <t>8L</t>
  </si>
  <si>
    <t>使用库存</t>
  </si>
  <si>
    <t>11/25订</t>
  </si>
  <si>
    <t>11/26 四川</t>
  </si>
  <si>
    <t>1PC/吊牌+条形码价格贴纸，18PCS/PDQ/胶袋/箱+贴纸</t>
  </si>
  <si>
    <t>W-9433791</t>
  </si>
  <si>
    <t>14265-000-1A-018-HPQ</t>
  </si>
  <si>
    <t>POHK-25-20704</t>
  </si>
  <si>
    <t>W-9433894</t>
  </si>
  <si>
    <t>Benson's (Australia)</t>
  </si>
  <si>
    <t>Elmond</t>
  </si>
  <si>
    <t>POHK-25-21191</t>
  </si>
  <si>
    <t>3605KTY01</t>
  </si>
  <si>
    <t>3810个使用库存</t>
  </si>
  <si>
    <t>12/15订</t>
  </si>
  <si>
    <t>胶袋12/31订</t>
  </si>
  <si>
    <t>12/12下四川</t>
  </si>
  <si>
    <t>1PC/吊牌，18PCS/PDQ/胶袋/箱</t>
  </si>
  <si>
    <t>B516224</t>
  </si>
  <si>
    <t>Red Planet (Canada)</t>
  </si>
  <si>
    <t>Christy</t>
  </si>
  <si>
    <t>POHK-26-03083</t>
  </si>
  <si>
    <t>XSDD000265</t>
  </si>
  <si>
    <t>0986KTY01</t>
  </si>
  <si>
    <t>3/7订</t>
  </si>
  <si>
    <t>3/12订</t>
  </si>
  <si>
    <t>3/30下</t>
  </si>
  <si>
    <t>1PC/吊牌+进口商吊牌，18PC/PDQ/胶袋/箱</t>
  </si>
  <si>
    <t>PO004918</t>
  </si>
  <si>
    <t xml:space="preserve"> 
14265-000-1A-018-HPQ</t>
  </si>
  <si>
    <t>HEB</t>
  </si>
  <si>
    <t>Fanny</t>
  </si>
  <si>
    <t>POHK-26-01414</t>
  </si>
  <si>
    <t>XSDD000202</t>
  </si>
  <si>
    <t>3/27下</t>
  </si>
  <si>
    <t>01X681590</t>
  </si>
  <si>
    <t>11761-000-1A-018-HPQ</t>
  </si>
  <si>
    <t>Woolworths Group</t>
  </si>
  <si>
    <t>POHK-26-09464</t>
  </si>
  <si>
    <t>XSDD000367</t>
  </si>
  <si>
    <t>5/6下</t>
  </si>
  <si>
    <t>1PC/吊牌+进口商吊牌，18PCS/PDQ/胶袋/箱</t>
  </si>
  <si>
    <t>POHK-26-09468</t>
  </si>
  <si>
    <t>XSDD000366</t>
  </si>
  <si>
    <t>POHK-26-09473</t>
  </si>
  <si>
    <t>XSDD000365</t>
  </si>
  <si>
    <t>POHK-26-09477</t>
  </si>
  <si>
    <t>XSDD000364</t>
  </si>
  <si>
    <t>UPD</t>
  </si>
  <si>
    <t>POHK-26-08323</t>
  </si>
  <si>
    <t>XSDD000506</t>
  </si>
  <si>
    <t>5/12下</t>
  </si>
  <si>
    <t>POHK-26-09487</t>
  </si>
  <si>
    <t>XSDD000375</t>
  </si>
  <si>
    <t>POHK-26-09493</t>
  </si>
  <si>
    <t>XSDD000374</t>
  </si>
  <si>
    <t>POHK-26-09496</t>
  </si>
  <si>
    <t>XSDD000373</t>
  </si>
  <si>
    <t>POHK-26-09500</t>
  </si>
  <si>
    <t>XSDD000372</t>
  </si>
  <si>
    <t>POHK-26-09514</t>
  </si>
  <si>
    <t>XSDD000371</t>
  </si>
  <si>
    <t>1916KTY01</t>
  </si>
  <si>
    <t>5/6订</t>
  </si>
  <si>
    <t>5/30下</t>
  </si>
  <si>
    <t>POHK-26-09520</t>
  </si>
  <si>
    <t>XSDD000370</t>
  </si>
  <si>
    <t>POHK-26-09524</t>
  </si>
  <si>
    <t>XSDD000369</t>
  </si>
  <si>
    <t>POHK-26-09527</t>
  </si>
  <si>
    <t>XSDD000368</t>
  </si>
  <si>
    <t>合计：</t>
  </si>
  <si>
    <t>2026年  #27694 侏罗纪棘龙 订单汇总表</t>
  </si>
  <si>
    <t>彩盒版本</t>
  </si>
  <si>
    <t>胶袋</t>
  </si>
  <si>
    <r>
      <rPr>
        <b/>
        <sz val="18"/>
        <rFont val="宋体"/>
        <charset val="134"/>
      </rPr>
      <t>2026年 #28465</t>
    </r>
    <r>
      <rPr>
        <b/>
        <sz val="14"/>
        <rFont val="宋体"/>
        <charset val="134"/>
      </rPr>
      <t xml:space="preserve">（#28466、#28467、#28468、#28469） </t>
    </r>
    <r>
      <rPr>
        <b/>
        <sz val="18"/>
        <rFont val="宋体"/>
        <charset val="134"/>
      </rPr>
      <t>14寸动物 订单汇总表</t>
    </r>
  </si>
  <si>
    <t>布标情况</t>
  </si>
  <si>
    <t>吊牌+彩盒</t>
  </si>
  <si>
    <t>#28466
长颈鹿</t>
  </si>
  <si>
    <t>#28467
青蛙</t>
  </si>
  <si>
    <t>#28468
大象</t>
  </si>
  <si>
    <t>#28469
兔子</t>
  </si>
  <si>
    <t>布标到位</t>
  </si>
  <si>
    <t>布标版本</t>
  </si>
  <si>
    <t>RFID-28466</t>
  </si>
  <si>
    <t>RFID-28467</t>
  </si>
  <si>
    <t>RFID-28468</t>
  </si>
  <si>
    <t>WMUS</t>
  </si>
  <si>
    <t xml:space="preserve">Joanna  </t>
  </si>
  <si>
    <t>POHK-25-20045</t>
  </si>
  <si>
    <t>11/13订</t>
  </si>
  <si>
    <t>3635KTY01</t>
  </si>
  <si>
    <t>1L</t>
  </si>
  <si>
    <t>11/20四川</t>
  </si>
  <si>
    <r>
      <rPr>
        <sz val="9"/>
        <rFont val="宋体"/>
        <charset val="134"/>
      </rPr>
      <t>1PC+吊牌+RFID,2PCS/箱，</t>
    </r>
    <r>
      <rPr>
        <sz val="9"/>
        <color rgb="FFFF0000"/>
        <rFont val="宋体"/>
        <charset val="134"/>
      </rPr>
      <t>60箱</t>
    </r>
    <r>
      <rPr>
        <sz val="9"/>
        <rFont val="宋体"/>
        <charset val="134"/>
      </rPr>
      <t>/卡板</t>
    </r>
  </si>
  <si>
    <t>0956713417</t>
  </si>
  <si>
    <t>28466-000-1E-002-HSS</t>
  </si>
  <si>
    <t>POHK-25-20049</t>
  </si>
  <si>
    <t>0956713490</t>
  </si>
  <si>
    <t>P0HK-25-20050</t>
  </si>
  <si>
    <t>0956713492</t>
  </si>
  <si>
    <t>POHK-25-20044</t>
  </si>
  <si>
    <t>0956713465</t>
  </si>
  <si>
    <t>POHK-25-20046</t>
  </si>
  <si>
    <t>0956713449</t>
  </si>
  <si>
    <t>WM US</t>
  </si>
  <si>
    <t>POHK-25-20903</t>
  </si>
  <si>
    <t>XSDD000028</t>
  </si>
  <si>
    <t>12/12订</t>
  </si>
  <si>
    <t>0156KTY01</t>
  </si>
  <si>
    <t>12/25下四川</t>
  </si>
  <si>
    <t>1PC+吊牌+RFID,2PCS/箱，60箱/卡板</t>
  </si>
  <si>
    <t>0960448977</t>
  </si>
  <si>
    <t>POHK-25-20904</t>
  </si>
  <si>
    <t>0960448995</t>
  </si>
  <si>
    <t>1PC+吊牌+RFID,2PCS/箱，72箱/卡板</t>
  </si>
  <si>
    <t>28467-000-1E-002-HSS</t>
  </si>
  <si>
    <t>POHK-25-20906</t>
  </si>
  <si>
    <t>0960449004</t>
  </si>
  <si>
    <t>POHK-25-20907</t>
  </si>
  <si>
    <t>0960449009</t>
  </si>
  <si>
    <t>POHK-25-20908</t>
  </si>
  <si>
    <t>0960449015</t>
  </si>
  <si>
    <t>POHK-25-20909</t>
  </si>
  <si>
    <t>0960449018</t>
  </si>
  <si>
    <t>POHK-25-20910</t>
  </si>
  <si>
    <t>0960449060</t>
  </si>
  <si>
    <t>POHK-25-21486</t>
  </si>
  <si>
    <t>XSDD000031</t>
  </si>
  <si>
    <t>0963687731</t>
  </si>
  <si>
    <t>28468-000-1E-002-HSS</t>
  </si>
  <si>
    <t>2025年 #75280（#75152、#75153、#75154） 搪胶公仔 订单汇总表</t>
  </si>
  <si>
    <t>扎带+胶针</t>
  </si>
  <si>
    <t>#75152
白种人</t>
  </si>
  <si>
    <t>#75153
拉蒂娜</t>
  </si>
  <si>
    <t>#75154
AA</t>
  </si>
  <si>
    <t>样板</t>
  </si>
  <si>
    <t>JPLLC</t>
  </si>
  <si>
    <t>Jasmine</t>
  </si>
  <si>
    <t>POHK-25-04190</t>
  </si>
  <si>
    <t>3/18订</t>
  </si>
  <si>
    <t>1005KTY01</t>
  </si>
  <si>
    <t>6/6订</t>
  </si>
  <si>
    <t>6/16订</t>
  </si>
  <si>
    <t>6/18下</t>
  </si>
  <si>
    <t>1PC/彩盒，（2+1+1混装）4PCS/箱</t>
  </si>
  <si>
    <t>6625-R0-CVS</t>
  </si>
  <si>
    <t>75280-000-1A-004-OTP</t>
  </si>
  <si>
    <t>POHK-25-04191</t>
  </si>
  <si>
    <t>1905KTY01</t>
  </si>
  <si>
    <t>Kohls</t>
  </si>
  <si>
    <t>POHK-25-04830</t>
  </si>
  <si>
    <t>6/7订</t>
  </si>
  <si>
    <t>7/2订新彩盒</t>
  </si>
  <si>
    <t>8/1下</t>
  </si>
  <si>
    <t>1PC/彩盒+价格贴纸(7/4)，（2+1+1混装）4PCS/箱+贴纸</t>
  </si>
  <si>
    <t>Kohls
（ECOM）</t>
  </si>
  <si>
    <t>POHK-25-09133</t>
  </si>
  <si>
    <r>
      <rPr>
        <sz val="9"/>
        <rFont val="宋体"/>
        <charset val="134"/>
      </rPr>
      <t>1PC/彩盒+价格贴纸(7/4)</t>
    </r>
    <r>
      <rPr>
        <sz val="9"/>
        <color rgb="FFFF0000"/>
        <rFont val="宋体"/>
        <charset val="134"/>
      </rPr>
      <t>+胶袋热封+贴纸</t>
    </r>
    <r>
      <rPr>
        <sz val="9"/>
        <rFont val="宋体"/>
        <charset val="134"/>
      </rPr>
      <t>，（2+1+1混装）4PCS/箱+贴纸</t>
    </r>
  </si>
  <si>
    <t>约运输</t>
  </si>
  <si>
    <t>75280-000-1C-004-OPG</t>
  </si>
  <si>
    <t>POHK-25-04192
订单已取消</t>
  </si>
  <si>
    <t>订单取消</t>
  </si>
  <si>
    <t>2026年 #25250  史力加系列磁铁肩膀公仔订单汇总表</t>
  </si>
  <si>
    <t>#25251
史力加</t>
  </si>
  <si>
    <t>#25288
灰驴</t>
  </si>
  <si>
    <t>Supreme UAE</t>
  </si>
  <si>
    <t>Agie</t>
  </si>
  <si>
    <t>POHK-25-17217</t>
  </si>
  <si>
    <t>3035KTY01</t>
  </si>
  <si>
    <t>10/9订</t>
  </si>
  <si>
    <t>10/17四川</t>
  </si>
  <si>
    <t>9/17订</t>
  </si>
  <si>
    <t>12/15下四川</t>
  </si>
  <si>
    <t>1PC/彩盒+贴纸1/13到，两款混装5+3共8PCS/箱</t>
  </si>
  <si>
    <t>PO/SI00088</t>
  </si>
  <si>
    <t>25250-000-1A-008-OPB</t>
  </si>
  <si>
    <t>MO剩余数量</t>
  </si>
  <si>
    <r>
      <rPr>
        <b/>
        <sz val="18"/>
        <rFont val="宋体"/>
        <charset val="134"/>
      </rPr>
      <t>2025年</t>
    </r>
    <r>
      <rPr>
        <b/>
        <sz val="18"/>
        <color rgb="FFFF0000"/>
        <rFont val="宋体"/>
        <charset val="134"/>
      </rPr>
      <t xml:space="preserve"> #50530 </t>
    </r>
    <r>
      <rPr>
        <b/>
        <sz val="18"/>
        <rFont val="宋体"/>
        <charset val="134"/>
      </rPr>
      <t xml:space="preserve"> 磁铁肩膀公仔订单汇总表</t>
    </r>
  </si>
  <si>
    <t>#50644
James</t>
  </si>
  <si>
    <t>#50669
Henry</t>
  </si>
  <si>
    <t>品牌</t>
  </si>
  <si>
    <t>客已批MO</t>
  </si>
  <si>
    <t>1颗</t>
  </si>
  <si>
    <r>
      <rPr>
        <b/>
        <sz val="18"/>
        <rFont val="宋体"/>
        <charset val="134"/>
      </rPr>
      <t>2026年</t>
    </r>
    <r>
      <rPr>
        <b/>
        <sz val="18"/>
        <color rgb="FFFF0000"/>
        <rFont val="宋体"/>
        <charset val="134"/>
      </rPr>
      <t xml:space="preserve"> #14245 </t>
    </r>
    <r>
      <rPr>
        <b/>
        <sz val="18"/>
        <rFont val="宋体"/>
        <charset val="134"/>
      </rPr>
      <t xml:space="preserve"> 磁铁肩膀公仔订单汇总表</t>
    </r>
  </si>
  <si>
    <t>彩盒
/PDQ</t>
  </si>
  <si>
    <t>扎带&amp;胶针</t>
  </si>
  <si>
    <r>
      <rPr>
        <sz val="11"/>
        <rFont val="Arial"/>
        <charset val="134"/>
        <scheme val="major"/>
      </rPr>
      <t>长编号</t>
    </r>
  </si>
  <si>
    <t>#58118
小鸡憨憨</t>
  </si>
  <si>
    <t>#58128
Founder</t>
  </si>
  <si>
    <t>#32064
雪人</t>
  </si>
  <si>
    <t>#14246
变色龙</t>
  </si>
  <si>
    <t>Joan</t>
  </si>
  <si>
    <t>POHK-26-05781</t>
  </si>
  <si>
    <t>3/26下</t>
  </si>
  <si>
    <t>4/3下</t>
  </si>
  <si>
    <t>1PC/彩盒，4PCS/PDQ/箱</t>
  </si>
  <si>
    <t>6863-R0-AC</t>
  </si>
  <si>
    <t>14245-000-1B-004-OP2</t>
  </si>
  <si>
    <r>
      <rPr>
        <b/>
        <sz val="18"/>
        <rFont val="宋体"/>
        <charset val="134"/>
      </rPr>
      <t>2026年</t>
    </r>
    <r>
      <rPr>
        <b/>
        <sz val="18"/>
        <color rgb="FFFF0000"/>
        <rFont val="宋体"/>
        <charset val="134"/>
      </rPr>
      <t xml:space="preserve"> #14225 </t>
    </r>
    <r>
      <rPr>
        <b/>
        <sz val="18"/>
        <rFont val="宋体"/>
        <charset val="134"/>
      </rPr>
      <t xml:space="preserve"> 磁铁肩膀公仔订单汇总表</t>
    </r>
  </si>
  <si>
    <t>胶袋
/胶针</t>
  </si>
  <si>
    <t>#11781
维尼熊</t>
  </si>
  <si>
    <t>#11782
杰克</t>
  </si>
  <si>
    <t>#11783
史迪仔</t>
  </si>
  <si>
    <t>#45586
阿焦</t>
  </si>
  <si>
    <t>#11884
天使</t>
  </si>
  <si>
    <t xml:space="preserve">Supreme (UAE) </t>
  </si>
  <si>
    <t>POHK-25-12786</t>
  </si>
  <si>
    <t>2105KTY01</t>
  </si>
  <si>
    <t>8/15订</t>
  </si>
  <si>
    <t>8/16
四川</t>
  </si>
  <si>
    <t>8/21订</t>
  </si>
  <si>
    <t>11/1下四川</t>
  </si>
  <si>
    <t>1PC/彩盒+客供贴纸，8PCS/箱</t>
  </si>
  <si>
    <t>11783-000-1D-008-OPB</t>
  </si>
  <si>
    <t>MA004</t>
  </si>
  <si>
    <t>9/25订</t>
  </si>
  <si>
    <t>10/15
四川</t>
  </si>
  <si>
    <t>8/27订</t>
  </si>
  <si>
    <t>11884-000-1B-008-OPB</t>
  </si>
  <si>
    <t>JPLLC
(Amazon)</t>
  </si>
  <si>
    <t>Anna</t>
  </si>
  <si>
    <t>POHK-25-20556</t>
  </si>
  <si>
    <t>3365KTY01</t>
  </si>
  <si>
    <t>9/29订</t>
  </si>
  <si>
    <t>11/21订</t>
  </si>
  <si>
    <t>11/24四川</t>
  </si>
  <si>
    <t>1PC/胶袋（热封），24PCS/箱</t>
  </si>
  <si>
    <t>6777-R0-AMZ</t>
  </si>
  <si>
    <t xml:space="preserve">11781-000-1A-024-PG0 </t>
  </si>
  <si>
    <t>11782-000-1A-024-PG0</t>
  </si>
  <si>
    <t>45586-000-1A-024-PG0</t>
  </si>
  <si>
    <t>3L吊牌</t>
  </si>
  <si>
    <t>12/22下四川</t>
  </si>
  <si>
    <t>1PC/吊牌/胶袋（热封），24PCS/箱</t>
  </si>
  <si>
    <t>11884-000-1A-024-HPG</t>
  </si>
  <si>
    <t>2905KTY01</t>
  </si>
  <si>
    <t>Just Play LLC（AMZ）</t>
  </si>
  <si>
    <t>Bevis</t>
  </si>
  <si>
    <t>POHK-25-20306</t>
  </si>
  <si>
    <t>2UKM8DCU/3YJV29XZ/7IRRAQ9U/86LV914J/3F4M9LNF/3YZRAXCL/7LE7AAYY/7OXDSTIZ/5B4I6H5Y/6QITDVDK/7BDPVATM/3NLJBVUT/8SSO552Q</t>
  </si>
  <si>
    <t>11781-000-1A-024-PG0
11783-000-1A-024-PG0</t>
  </si>
  <si>
    <t>POHK-25-20307</t>
  </si>
  <si>
    <t>6FF5YT4B/1FA1UX6S</t>
  </si>
  <si>
    <t>POHK-25-22397</t>
  </si>
  <si>
    <t>XSDD000032</t>
  </si>
  <si>
    <t>1/3下四川</t>
  </si>
  <si>
    <t>8ARI9PGT/27GAD3SK/3F52E84T/4BFEEFWU/732D2I1V/2DBG3LXD/65UKTHDB</t>
  </si>
  <si>
    <t>45586-000-1A-024-PG0
11781-000-1A-024-PG0
11783-000-1A-024-PG0</t>
  </si>
  <si>
    <t>提醒：橙色为询单,</t>
  </si>
  <si>
    <r>
      <rPr>
        <b/>
        <sz val="18"/>
        <rFont val="宋体"/>
        <charset val="134"/>
      </rPr>
      <t>2026年</t>
    </r>
    <r>
      <rPr>
        <b/>
        <sz val="18"/>
        <color rgb="FFFF0000"/>
        <rFont val="宋体"/>
        <charset val="134"/>
      </rPr>
      <t xml:space="preserve"> #82165 </t>
    </r>
    <r>
      <rPr>
        <b/>
        <sz val="18"/>
        <rFont val="宋体"/>
        <charset val="134"/>
      </rPr>
      <t xml:space="preserve"> 磁铁肩膀海棉宝宝&amp;派大星订单汇总表</t>
    </r>
  </si>
  <si>
    <t>#82166
海棉宝宝</t>
  </si>
  <si>
    <t>#82167
派大星</t>
  </si>
  <si>
    <t>客批MO</t>
  </si>
  <si>
    <t>1粒</t>
  </si>
  <si>
    <t>Just Play Europe B.V.</t>
  </si>
  <si>
    <t>Frances</t>
  </si>
  <si>
    <t>POHK-25-21028</t>
  </si>
  <si>
    <t>XXDD000039</t>
  </si>
  <si>
    <t>0126KTY01</t>
  </si>
  <si>
    <t>11/4订</t>
  </si>
  <si>
    <t>1/21下四川</t>
  </si>
  <si>
    <t>10/11订</t>
  </si>
  <si>
    <t>1PC/彩盒，6PCS/PDQ/外箱</t>
  </si>
  <si>
    <t>00158-R0-SPA</t>
  </si>
  <si>
    <t>82165-000-1E-006-OP2</t>
  </si>
  <si>
    <t>Emway (Singapore)</t>
  </si>
  <si>
    <t>POHK-25-14488</t>
  </si>
  <si>
    <t>XSDD000833</t>
  </si>
  <si>
    <t>2306KTY01</t>
  </si>
  <si>
    <t>库存</t>
  </si>
  <si>
    <t>7/14下</t>
  </si>
  <si>
    <t>EMWAY</t>
  </si>
  <si>
    <t>MO余数</t>
  </si>
  <si>
    <t>2026年  #11369 投影米奇 订单汇总表</t>
  </si>
  <si>
    <t>彩盒+说明书版本</t>
  </si>
  <si>
    <r>
      <rPr>
        <sz val="10"/>
        <rFont val="宋体"/>
        <charset val="134"/>
      </rPr>
      <t xml:space="preserve">彩盒+
</t>
    </r>
    <r>
      <rPr>
        <b/>
        <sz val="10"/>
        <color rgb="FFFF0000"/>
        <rFont val="宋体"/>
        <charset val="134"/>
      </rPr>
      <t>说明书全用新版本</t>
    </r>
  </si>
  <si>
    <t>MA单号</t>
  </si>
  <si>
    <t>MA</t>
  </si>
  <si>
    <t>Amazon AU</t>
  </si>
  <si>
    <t>Beatrice</t>
  </si>
  <si>
    <r>
      <rPr>
        <sz val="9"/>
        <rFont val="宋体"/>
        <charset val="134"/>
      </rPr>
      <t xml:space="preserve">POHK-25-08095
</t>
    </r>
    <r>
      <rPr>
        <sz val="9"/>
        <color rgb="FFFF0000"/>
        <rFont val="宋体"/>
        <charset val="134"/>
      </rPr>
      <t>4/15换新PO出货
新POHK-26-09816</t>
    </r>
  </si>
  <si>
    <t>1265KTY01</t>
  </si>
  <si>
    <t>3/8订</t>
  </si>
  <si>
    <t>5/23
四川</t>
  </si>
  <si>
    <t>3/6订</t>
  </si>
  <si>
    <t>5/23下</t>
  </si>
  <si>
    <t>1PC/封闭盒+电池标签，4PC/外箱+贴纸(5/28到)</t>
  </si>
  <si>
    <t>2JF6HY9B</t>
  </si>
  <si>
    <t>11369-000-1H-004-CB0</t>
  </si>
  <si>
    <t>Amazon US</t>
  </si>
  <si>
    <t>从AMZ询单取消832个转入
POHK-25-20306</t>
  </si>
  <si>
    <t>3325KTY01</t>
  </si>
  <si>
    <t>6/28订</t>
  </si>
  <si>
    <t>11/22四川</t>
  </si>
  <si>
    <t>1PC/封闭盒，4PC/外箱+贴纸</t>
  </si>
  <si>
    <t>5LAISYOH/7AAMNMTM</t>
  </si>
  <si>
    <t>POHK-25-18802</t>
  </si>
  <si>
    <t>11/11订</t>
  </si>
  <si>
    <t>1PC/彩盒+RFID/外箱，66箱/卡板+滑片纸</t>
  </si>
  <si>
    <t>11369-000-1K-001-OPS</t>
  </si>
  <si>
    <t>POHK-25-18803</t>
  </si>
  <si>
    <t>从AMZ询单取消2468个转入
POHK-25-18804</t>
  </si>
  <si>
    <t>POHK-25-18805</t>
  </si>
  <si>
    <t>从AMZ询单取消2468个转入
POHK-25-18806</t>
  </si>
  <si>
    <t>POHK-25-18807</t>
  </si>
  <si>
    <t>POHK-25-18808</t>
  </si>
  <si>
    <t>11/18订</t>
  </si>
  <si>
    <t>Kohls（STORES）</t>
  </si>
  <si>
    <t>POHK-25-19598</t>
  </si>
  <si>
    <t>1PC/彩盒+价格贴纸，4PC/外箱+贴纸</t>
  </si>
  <si>
    <t>11369-000-1J-004-OPB</t>
  </si>
  <si>
    <t>Kohls（DIGITAL ECOM）</t>
  </si>
  <si>
    <t>POHK-25-19599</t>
  </si>
  <si>
    <t>1PC/彩盒+价格贴纸/胶袋(热封）+UPC贴纸，4PC/外箱+贴纸</t>
  </si>
  <si>
    <t>11369-000-1P-004-OPP</t>
  </si>
  <si>
    <t>Target</t>
  </si>
  <si>
    <t>Vivian</t>
  </si>
  <si>
    <t>POHK-25-20765</t>
  </si>
  <si>
    <t>11/28订</t>
  </si>
  <si>
    <t>12/24下四川</t>
  </si>
  <si>
    <t>1PC/彩盒，4PC/外箱+贴纸</t>
  </si>
  <si>
    <t>10001609268-0581</t>
  </si>
  <si>
    <t>从AMZ询单取消832个转入
POHK-25-22397</t>
  </si>
  <si>
    <t>22O42TJU</t>
  </si>
  <si>
    <t>POHK-25-19600</t>
  </si>
  <si>
    <t>XSDD000029</t>
  </si>
  <si>
    <t>11/22订</t>
  </si>
  <si>
    <t>1PC/彩盒+价格贴纸+胶袋(热封）+UPC贴纸，4PC/外箱+贴纸</t>
  </si>
  <si>
    <t>2026/2/29</t>
  </si>
  <si>
    <t>POHK-26-00653</t>
  </si>
  <si>
    <t>XSDD000025</t>
  </si>
  <si>
    <t>0616KTY01</t>
  </si>
  <si>
    <t>1PC/封闭盒+电池标签，4PC/外箱+贴纸</t>
  </si>
  <si>
    <t>8IDLYDZQ</t>
  </si>
  <si>
    <t>测试样</t>
  </si>
  <si>
    <t>Amazon UK</t>
  </si>
  <si>
    <t>POHK-26-04520</t>
  </si>
  <si>
    <t>XSDD000178</t>
  </si>
  <si>
    <t>有库存4210个</t>
  </si>
  <si>
    <t>3/12下</t>
  </si>
  <si>
    <t>开关打OFF档，1PC+电池贴纸/封闭盒+进口商贴纸+8L说明书+3L说明书，4PC/外箱+贴纸</t>
  </si>
  <si>
    <t>待批IC后放SO</t>
  </si>
  <si>
    <t>5U7M256E
客到工厂收货</t>
  </si>
  <si>
    <t>MA001</t>
  </si>
  <si>
    <t>34NV3ICD
客到工厂收货</t>
  </si>
  <si>
    <t>POHK-26-04835</t>
  </si>
  <si>
    <t>XSDD000181</t>
  </si>
  <si>
    <t>17P6J28S</t>
  </si>
  <si>
    <t>7UUJG9JX</t>
  </si>
  <si>
    <t>8CVR4HNI</t>
  </si>
  <si>
    <t>8UX5JPHZ</t>
  </si>
  <si>
    <t>POHK-26-03778</t>
  </si>
  <si>
    <t>XSDD000342</t>
  </si>
  <si>
    <t>1266KTY01</t>
  </si>
  <si>
    <t>4/15下</t>
  </si>
  <si>
    <t>4/18下</t>
  </si>
  <si>
    <t>10001764794-3891</t>
  </si>
  <si>
    <t>POHK-26-03782</t>
  </si>
  <si>
    <t>XSDD000341</t>
  </si>
  <si>
    <t>10001764793-3890</t>
  </si>
  <si>
    <t>AAFES</t>
  </si>
  <si>
    <t>Royce</t>
  </si>
  <si>
    <t>POHK-26-04300</t>
  </si>
  <si>
    <t>XSDD000302</t>
  </si>
  <si>
    <t>3/27订</t>
  </si>
  <si>
    <t>1PC/彩盒，4PC/外箱</t>
  </si>
  <si>
    <t>0092552941</t>
  </si>
  <si>
    <t>MA002</t>
  </si>
  <si>
    <t>POHK-26-04321</t>
  </si>
  <si>
    <t>XSDD000304</t>
  </si>
  <si>
    <t>0092552940</t>
  </si>
  <si>
    <t>POHK-26-04323</t>
  </si>
  <si>
    <t>XSDD000301</t>
  </si>
  <si>
    <t>0092552939</t>
  </si>
  <si>
    <t>POHK-26-04325</t>
  </si>
  <si>
    <t>XSDD000300</t>
  </si>
  <si>
    <t>0092552937</t>
  </si>
  <si>
    <t>POHK-26-04326</t>
  </si>
  <si>
    <t>XSDD000303</t>
  </si>
  <si>
    <t>0092552936</t>
  </si>
  <si>
    <t>JPUK</t>
  </si>
  <si>
    <t>Emily</t>
  </si>
  <si>
    <t>POHK-26-03272</t>
  </si>
  <si>
    <t>XSDD000203</t>
  </si>
  <si>
    <t>1PC+产品贴纸/封闭盒+贴纸+LED警告贴纸+WEEE说明书+3L说明书，4PC/外箱</t>
  </si>
  <si>
    <t>00098-R0-UK</t>
  </si>
  <si>
    <t>POHK-26-03765</t>
  </si>
  <si>
    <t>XSDD000353</t>
  </si>
  <si>
    <t xml:space="preserve"> 10001764805-3891</t>
  </si>
  <si>
    <t>POHK-26-03776</t>
  </si>
  <si>
    <t>XSDD000343</t>
  </si>
  <si>
    <t>10001764802-3890</t>
  </si>
  <si>
    <t>POHK-26-08592</t>
  </si>
  <si>
    <t>XSDD000331</t>
  </si>
  <si>
    <t>1406KTY01</t>
  </si>
  <si>
    <t>4/10订</t>
  </si>
  <si>
    <t>4/27下</t>
  </si>
  <si>
    <t>2PMIEX6I -DC#SAV1</t>
  </si>
  <si>
    <t>MA003</t>
  </si>
  <si>
    <t>5SQ3Q33U -DC#SAV1</t>
  </si>
  <si>
    <t>POHK-26-03697</t>
  </si>
  <si>
    <t>XSDD000453</t>
  </si>
  <si>
    <t>5/9下</t>
  </si>
  <si>
    <t>10001764886-3891</t>
  </si>
  <si>
    <t>POHK-26-03699</t>
  </si>
  <si>
    <t>XSDD000452</t>
  </si>
  <si>
    <t>10001764882-3890</t>
  </si>
  <si>
    <r>
      <rPr>
        <sz val="9"/>
        <rFont val="宋体"/>
        <charset val="134"/>
      </rPr>
      <t xml:space="preserve">POHK-26-09816
</t>
    </r>
    <r>
      <rPr>
        <sz val="9"/>
        <color rgb="FFFF0000"/>
        <rFont val="宋体"/>
        <charset val="134"/>
      </rPr>
      <t>用POHK-26-08095</t>
    </r>
  </si>
  <si>
    <t>XSDD000385</t>
  </si>
  <si>
    <t>5/4下</t>
  </si>
  <si>
    <t>1PC/封闭盒+电池贴纸，4PC/外箱+贴纸</t>
  </si>
  <si>
    <t>6NYMYA9L -DC#AVV2</t>
  </si>
  <si>
    <t>POHK-26-03678</t>
  </si>
  <si>
    <t>XSDD000451</t>
  </si>
  <si>
    <t>5/8订</t>
  </si>
  <si>
    <t>10001764901-3891</t>
  </si>
  <si>
    <t>POHK-26-03674</t>
  </si>
  <si>
    <t>XSDD000450</t>
  </si>
  <si>
    <t>46857-999</t>
  </si>
  <si>
    <t>POHK-26-11629</t>
  </si>
  <si>
    <t>XSDD000519</t>
  </si>
  <si>
    <t>5/18下</t>
  </si>
  <si>
    <t>2HB1SQ9U -DC#ORF1</t>
  </si>
  <si>
    <t>4UZ1D6PN -DC#SAV1</t>
  </si>
  <si>
    <t>5IJUIRBR -DC#ORF1</t>
  </si>
  <si>
    <t>5YFP83TQ -DC#ORF1</t>
  </si>
  <si>
    <t>6I9XXYYM -DC#LGB1</t>
  </si>
  <si>
    <t>POHK-26-11643</t>
  </si>
  <si>
    <t>XSDD000518</t>
  </si>
  <si>
    <t>1686KTY01</t>
  </si>
  <si>
    <t>6/4下</t>
  </si>
  <si>
    <t>788DZJQS -DC#LGB1</t>
  </si>
  <si>
    <t>57I2H9FY -DC#LGB1</t>
  </si>
  <si>
    <t>5HTMD9DE -DC#LGB1</t>
  </si>
  <si>
    <t>5XUWIO6D -DC#LGB1</t>
  </si>
  <si>
    <t>5ZES7LGS -DC#LGB1</t>
  </si>
  <si>
    <t>6EA4XOAT -DC#SAV1</t>
  </si>
  <si>
    <t>6G4VJS5I -DC#LGB1</t>
  </si>
  <si>
    <t>7F6BLIJU -DC#LGB1</t>
  </si>
  <si>
    <t>7WVWVXWI -DC#LGB1</t>
  </si>
  <si>
    <t>POHK-26-03865</t>
  </si>
  <si>
    <t>XSDD000643</t>
  </si>
  <si>
    <t>10001764750-3891</t>
  </si>
  <si>
    <t>POHK-26-03867</t>
  </si>
  <si>
    <t>XSDD000642</t>
  </si>
  <si>
    <t>6/8下</t>
  </si>
  <si>
    <t>10001764749-3890</t>
  </si>
  <si>
    <t>POHK-26-03848</t>
  </si>
  <si>
    <t>XSDD000641</t>
  </si>
  <si>
    <t>1806KTY01</t>
  </si>
  <si>
    <t>6/8订</t>
  </si>
  <si>
    <t>6/11订</t>
  </si>
  <si>
    <t>10001764709-3891</t>
  </si>
  <si>
    <t>MA005</t>
  </si>
  <si>
    <t>POHK-26-13238</t>
  </si>
  <si>
    <t>XSDD000588</t>
  </si>
  <si>
    <t>6/9下</t>
  </si>
  <si>
    <t>1W696XFT -DC#AVV2</t>
  </si>
  <si>
    <t>POHK-26-03842</t>
  </si>
  <si>
    <t>XSDD000640</t>
  </si>
  <si>
    <t>10001764706-3890</t>
  </si>
  <si>
    <t>JPLLC GROC</t>
  </si>
  <si>
    <t>POHK-26-13108</t>
  </si>
  <si>
    <t>XSDD000581</t>
  </si>
  <si>
    <t>6918-R0-GROC</t>
  </si>
  <si>
    <t>Amazon CA</t>
  </si>
  <si>
    <t>POHK-26-14278</t>
  </si>
  <si>
    <t>XSDD000606</t>
  </si>
  <si>
    <t>1PC/封闭盒，4PC/外箱</t>
  </si>
  <si>
    <t>0004-R0-AMZCA</t>
  </si>
  <si>
    <t>船头办</t>
  </si>
  <si>
    <t>已寄</t>
  </si>
  <si>
    <t>Macys</t>
  </si>
  <si>
    <t>Leony</t>
  </si>
  <si>
    <t>POHK-26-15235</t>
  </si>
  <si>
    <t>XSDD000671</t>
  </si>
  <si>
    <t>2106KTY01</t>
  </si>
  <si>
    <t>6/27下</t>
  </si>
  <si>
    <r>
      <rPr>
        <sz val="9"/>
        <rFont val="宋体"/>
        <charset val="134"/>
      </rPr>
      <t>1PC/彩盒，4PC/外箱+贴纸</t>
    </r>
    <r>
      <rPr>
        <sz val="9"/>
        <color rgb="FFFF0000"/>
        <rFont val="宋体"/>
        <charset val="134"/>
      </rPr>
      <t>（8/1寄）</t>
    </r>
  </si>
  <si>
    <t>6933-R0-MACYS</t>
  </si>
  <si>
    <t>POHK-26-03793</t>
  </si>
  <si>
    <t>XSDD000793</t>
  </si>
  <si>
    <t>7/3下</t>
  </si>
  <si>
    <t>10001764777-3891</t>
  </si>
  <si>
    <t>POHK-26-14714</t>
  </si>
  <si>
    <t>XSDD000665</t>
  </si>
  <si>
    <t>7/8下</t>
  </si>
  <si>
    <t>14WXB5TA -DC#SAV1</t>
  </si>
  <si>
    <t>6OQRQH5I -DC#LGB1</t>
  </si>
  <si>
    <t>6WRDFHHW -DC#ORF1</t>
  </si>
  <si>
    <t>735BS3WC -DC#SAV1</t>
  </si>
  <si>
    <t>3J5QTOEK -DC#ORF1</t>
  </si>
  <si>
    <t>52PV6Z6I -DC#SAV1</t>
  </si>
  <si>
    <t>584PJ8GB -DC#LGB1</t>
  </si>
  <si>
    <t>5OGRTFPD -DC#SAV1</t>
  </si>
  <si>
    <t>5SH36FVK -DC#ORF1</t>
  </si>
  <si>
    <t>POHK-26-03791</t>
  </si>
  <si>
    <t>XSDD000792</t>
  </si>
  <si>
    <t>7/9下</t>
  </si>
  <si>
    <t>10001764776-3890</t>
  </si>
  <si>
    <t>POHK-26-03702</t>
  </si>
  <si>
    <t>XSDD000795</t>
  </si>
  <si>
    <t>7/15下</t>
  </si>
  <si>
    <t>10001764917-3891</t>
  </si>
  <si>
    <t>POHK-26-14952</t>
  </si>
  <si>
    <t>XSDD000667</t>
  </si>
  <si>
    <t>7IBGTK9S -DC#KUK2</t>
  </si>
  <si>
    <t>POHK-26-16546</t>
  </si>
  <si>
    <t>XSDD000838</t>
  </si>
  <si>
    <t>2236KTY01</t>
  </si>
  <si>
    <t>6/29订</t>
  </si>
  <si>
    <t>7/27下</t>
  </si>
  <si>
    <t>84DQWWSY -DC#KUK2</t>
  </si>
  <si>
    <t>MA006</t>
  </si>
  <si>
    <t>POHK-26-03692</t>
  </si>
  <si>
    <t>XSDD000791</t>
  </si>
  <si>
    <t>10001764914-3890</t>
  </si>
  <si>
    <t>POHK-26-03764</t>
  </si>
  <si>
    <t>XSDD000794</t>
  </si>
  <si>
    <t>10001764800-3891</t>
  </si>
  <si>
    <t>2W3IOAFI -DC#KUK2</t>
  </si>
  <si>
    <t>POHK-26-03775</t>
  </si>
  <si>
    <t>XSDD000936</t>
  </si>
  <si>
    <t>7/7订</t>
  </si>
  <si>
    <t>8/11下</t>
  </si>
  <si>
    <t>10001764797-3890</t>
  </si>
  <si>
    <t>MA007</t>
  </si>
  <si>
    <t>POHK-26-03862</t>
  </si>
  <si>
    <t>XSDD000938</t>
  </si>
  <si>
    <t>10001764741-3891</t>
  </si>
  <si>
    <t>POHK-26-03857</t>
  </si>
  <si>
    <t>XSDD000937</t>
  </si>
  <si>
    <t>10001764740-3890</t>
  </si>
  <si>
    <t>SCHK-26-15285
8/26取消2704PCS</t>
  </si>
  <si>
    <t>8/25下，已取消</t>
  </si>
  <si>
    <t>取消订单</t>
  </si>
  <si>
    <t>10001940433-3891</t>
  </si>
  <si>
    <t>SCHK-26-15282
8/26取消3796PCS</t>
  </si>
  <si>
    <t>10001940432-3890</t>
  </si>
  <si>
    <t>Almarina, Poland</t>
  </si>
  <si>
    <t>Althea</t>
  </si>
  <si>
    <t>SCHK-26-18047</t>
  </si>
  <si>
    <t>DDD9/11</t>
  </si>
  <si>
    <t>1L彩盒已签</t>
  </si>
  <si>
    <t>3100套</t>
  </si>
  <si>
    <t>3L彩盒已签</t>
  </si>
  <si>
    <t>封闭盒</t>
  </si>
  <si>
    <t>2000套</t>
  </si>
  <si>
    <t>用于Macys订单</t>
  </si>
  <si>
    <t>粉红贴纸</t>
  </si>
  <si>
    <t>余264套</t>
  </si>
  <si>
    <t>用于28465</t>
  </si>
  <si>
    <t>2026年#21150 六款豆袋系列订单汇总表</t>
  </si>
  <si>
    <t>订单编号</t>
  </si>
  <si>
    <t>SW确认交期</t>
  </si>
  <si>
    <t>包装
数量</t>
  </si>
  <si>
    <t>吊牌/PDQ版本</t>
  </si>
  <si>
    <t>吊牌/PDQ</t>
  </si>
  <si>
    <t>#21019</t>
  </si>
  <si>
    <t>#21024</t>
  </si>
  <si>
    <t>#21025</t>
  </si>
  <si>
    <t>#21026</t>
  </si>
  <si>
    <t>#21027</t>
  </si>
  <si>
    <t>#21028</t>
  </si>
  <si>
    <t>Big W (Australia)</t>
  </si>
  <si>
    <t>POHK-25-20345</t>
  </si>
  <si>
    <t>12/18订</t>
  </si>
  <si>
    <t>0056KTY01</t>
  </si>
  <si>
    <t>12/23下四川</t>
  </si>
  <si>
    <t>1PC/吊牌+进口商吊牌,12PC/PDQ/箱（两款混装）</t>
  </si>
  <si>
    <t>21150-000-6B-012-HPQ</t>
  </si>
  <si>
    <t>POHK-25-20347</t>
  </si>
  <si>
    <t>POHK-25-20743</t>
  </si>
  <si>
    <t>POHK-25-20747</t>
  </si>
  <si>
    <t>POHK-25-20749</t>
  </si>
  <si>
    <t>POHK-25-20750</t>
  </si>
  <si>
    <t>POHK-25-20752</t>
  </si>
  <si>
    <t>POHK-25-20754</t>
  </si>
  <si>
    <t>POHK-25-21771</t>
  </si>
  <si>
    <t>XSDD000030</t>
  </si>
  <si>
    <t>12-22订</t>
  </si>
  <si>
    <t>0586KTY01</t>
  </si>
  <si>
    <t>1PC/吊牌+进口商吊牌（12/30寄）,12PC/PDQ/箱（两款混装）</t>
  </si>
  <si>
    <t>POHK-25-21772</t>
  </si>
  <si>
    <t>POHK-25-21773</t>
  </si>
  <si>
    <t>POHK-25-21774</t>
  </si>
  <si>
    <t>2026年#11356 毯子系列8款毛绒订单汇总表</t>
  </si>
  <si>
    <t>#11356
米奇</t>
  </si>
  <si>
    <t>#11357
米妮</t>
  </si>
  <si>
    <t>#11358
史迪仔</t>
  </si>
  <si>
    <t>#11359
辛巴</t>
  </si>
  <si>
    <t>#11361
冥王狗</t>
  </si>
  <si>
    <t>#11362
小飞象</t>
  </si>
  <si>
    <t>#11363
维尼熊</t>
  </si>
  <si>
    <t>#11364
玛丽猫</t>
  </si>
  <si>
    <t>JPLLC (JCP POE)</t>
  </si>
  <si>
    <t xml:space="preserve">Agie </t>
  </si>
  <si>
    <t>POHK-25-22148</t>
  </si>
  <si>
    <t>12/11已订</t>
  </si>
  <si>
    <t>12/22订</t>
  </si>
  <si>
    <r>
      <rPr>
        <sz val="9"/>
        <rFont val="宋体"/>
        <charset val="134"/>
      </rPr>
      <t>1PC/挂钩/吊牌+价格贴纸（12/30到），</t>
    </r>
    <r>
      <rPr>
        <sz val="9"/>
        <color rgb="FFFF0000"/>
        <rFont val="宋体"/>
        <charset val="134"/>
      </rPr>
      <t>单款包装</t>
    </r>
    <r>
      <rPr>
        <sz val="9"/>
        <rFont val="宋体"/>
        <charset val="134"/>
      </rPr>
      <t>6PCS/箱+贴纸（12/30到）</t>
    </r>
  </si>
  <si>
    <t>6778-R0-JCP</t>
  </si>
  <si>
    <t>11356-000-1D-006-HPJ
11357-000-1D-006-HPJ
11358-000-1D-006-HPJ
11362-000-1D-006-HPJ
11363-000-1D-006-HPJ</t>
  </si>
  <si>
    <t>2026年#12369摇手米奇系列订单汇总表</t>
  </si>
  <si>
    <t>彩盒+说明书</t>
  </si>
  <si>
    <t>10/17
订购</t>
  </si>
  <si>
    <t>3255KTY01</t>
  </si>
  <si>
    <t>3L-W2</t>
  </si>
  <si>
    <t>11/25四川</t>
  </si>
  <si>
    <t>1PC/封闭盒，3PC/外箱+贴纸</t>
  </si>
  <si>
    <t>56WW9AFR/62V4ESGH/8SDSE5WZ</t>
  </si>
  <si>
    <t>12369-000-2D-003-CB0</t>
  </si>
  <si>
    <t>POHK-26-00212</t>
  </si>
  <si>
    <t>XSDD000051</t>
  </si>
  <si>
    <t>0376KTY01</t>
  </si>
  <si>
    <t>1/5下四川</t>
  </si>
  <si>
    <t>3/9出138
3/30出102，交清</t>
  </si>
  <si>
    <t>13SX69ML/42BO2ZGS</t>
  </si>
  <si>
    <t>6W29V3UF</t>
  </si>
  <si>
    <t>4L4X7I6W</t>
  </si>
  <si>
    <t>SMYTHS UK</t>
  </si>
  <si>
    <t>Marcella</t>
  </si>
  <si>
    <t>POHK-26-01148</t>
  </si>
  <si>
    <t>XSDD000093</t>
  </si>
  <si>
    <t>3/7订3K</t>
  </si>
  <si>
    <t>3/5下四川</t>
  </si>
  <si>
    <t>1PC/彩盒+进口商贴纸+5L警告语贴纸+2张Triman贴纸+8L说明书+3L说明书，2PC/外箱</t>
  </si>
  <si>
    <t>4400539181</t>
  </si>
  <si>
    <t>12369-000-2A-002-OPB</t>
  </si>
  <si>
    <t>POHK-26-01150</t>
  </si>
  <si>
    <t>XSDD000094</t>
  </si>
  <si>
    <t>4400539183</t>
  </si>
  <si>
    <t>库存2235</t>
  </si>
  <si>
    <t>57JD9FFW</t>
  </si>
  <si>
    <t>6TXB4X4J</t>
  </si>
  <si>
    <t>Wabro Argentia</t>
  </si>
  <si>
    <t>Sharon</t>
  </si>
  <si>
    <t>POHK-26-05988</t>
  </si>
  <si>
    <t>XSDD000356</t>
  </si>
  <si>
    <t>4/29下</t>
  </si>
  <si>
    <t>1PC/彩盒+客供贴纸，2PC/外箱（用松柏电池4/23订）</t>
  </si>
  <si>
    <t>740</t>
  </si>
  <si>
    <t>POHK-26-09083</t>
  </si>
  <si>
    <t>XSDD000335</t>
  </si>
  <si>
    <t>库存2031</t>
  </si>
  <si>
    <t>1PC/封闭盒，3PC/外箱</t>
  </si>
  <si>
    <t>001-R0-AMZCA</t>
  </si>
  <si>
    <t>29QNPLNJ -DC#ORF1</t>
  </si>
  <si>
    <t>POHK-26-09816</t>
  </si>
  <si>
    <t>1PC/封闭盒+电池贴纸，3PC/外箱+贴纸</t>
  </si>
  <si>
    <t>6I4L168P -DC#AVV2</t>
  </si>
  <si>
    <t>5AU1YJFG -DC#LGB1</t>
  </si>
  <si>
    <t>1766KTY01</t>
  </si>
  <si>
    <t>库存72个
5/18下</t>
  </si>
  <si>
    <t>6CV4LQOT -DC#NNJ1</t>
  </si>
  <si>
    <t>6FI8HT4F -DC#ORF1</t>
  </si>
  <si>
    <t>1MQHXKBL -DC#LGB1</t>
  </si>
  <si>
    <t>3AIAIVSZ -DC#LGB1</t>
  </si>
  <si>
    <t>4KNQELZK -DC#LGB1</t>
  </si>
  <si>
    <t>61AYRUVT -DC#AVV2</t>
  </si>
  <si>
    <t>POHK-26-14721</t>
  </si>
  <si>
    <t>XSDD000666</t>
  </si>
  <si>
    <t>2046KTY01</t>
  </si>
  <si>
    <t>1DEQL1WR -DC#SAV1</t>
  </si>
  <si>
    <t>2A7Z3VIJ -DC#LGB1</t>
  </si>
  <si>
    <t>3QRR59UP -DC#ORF1</t>
  </si>
  <si>
    <t>6UM3GHFY -DC#LGB1</t>
  </si>
  <si>
    <t>1R2O7R2S -DC#ORF1</t>
  </si>
  <si>
    <t>3KZENE5C -DC#SAV1</t>
  </si>
  <si>
    <t>5EQR7ZOD -DC#ORF1</t>
  </si>
  <si>
    <t>Evolution PR样板</t>
  </si>
  <si>
    <t>收费样板</t>
  </si>
  <si>
    <t>跟车下东莞，再寄快递</t>
  </si>
  <si>
    <t>7/10已寄</t>
  </si>
  <si>
    <t>工程样板</t>
  </si>
  <si>
    <t>用备品做货，不下生产单</t>
  </si>
  <si>
    <t>POHK-26-17087</t>
  </si>
  <si>
    <t>XSDD00903</t>
  </si>
  <si>
    <t>8/3订</t>
  </si>
  <si>
    <t>2506KTY01</t>
  </si>
  <si>
    <t>8/18下</t>
  </si>
  <si>
    <t>8/25下</t>
  </si>
  <si>
    <t>货期提前</t>
  </si>
  <si>
    <t>4400587835</t>
  </si>
  <si>
    <t>POHK-26-17506</t>
  </si>
  <si>
    <t>XSDD000904</t>
  </si>
  <si>
    <t>4400587836</t>
  </si>
  <si>
    <t>POHK-26-18330</t>
  </si>
  <si>
    <t>XSDD000954</t>
  </si>
  <si>
    <t>8/31订</t>
  </si>
  <si>
    <t>4400594945</t>
  </si>
  <si>
    <t>POHK-26-18040</t>
  </si>
  <si>
    <t>XSDD000990</t>
  </si>
  <si>
    <t>4400594160</t>
  </si>
  <si>
    <t>.</t>
  </si>
  <si>
    <t>W1库存</t>
  </si>
  <si>
    <t>旧版</t>
  </si>
  <si>
    <t>成品库存</t>
  </si>
  <si>
    <r>
      <rPr>
        <b/>
        <sz val="18"/>
        <rFont val="宋体"/>
        <charset val="134"/>
      </rPr>
      <t>2026年#12125</t>
    </r>
    <r>
      <rPr>
        <b/>
        <sz val="12"/>
        <rFont val="宋体"/>
        <charset val="134"/>
      </rPr>
      <t xml:space="preserve">（#12136、#12137、#14878、#30118） </t>
    </r>
    <r>
      <rPr>
        <b/>
        <sz val="18"/>
        <rFont val="宋体"/>
        <charset val="134"/>
      </rPr>
      <t>爬爬米奇&amp;米妮&amp;史迪仔减价系列订单汇总表</t>
    </r>
  </si>
  <si>
    <t>#12136
米奇</t>
  </si>
  <si>
    <t>#12137
米妮</t>
  </si>
  <si>
    <t>#14878
史迪仔</t>
  </si>
  <si>
    <t>#30118
维尼熊</t>
  </si>
  <si>
    <t>11/7订</t>
  </si>
  <si>
    <t>3505KTY01</t>
  </si>
  <si>
    <t>不用订</t>
  </si>
  <si>
    <t>11/27 四川</t>
  </si>
  <si>
    <t>11/27下四川</t>
  </si>
  <si>
    <t>1PC/封闭盒，8PC/外箱+贴纸</t>
  </si>
  <si>
    <t>45EVZ8LY/681C56WN/2AIT655U/7ALIKTEM/7PELEP9C/8XMB2P1P/58MC6P4D/87ENWKCQ/8CNHXBSX</t>
  </si>
  <si>
    <t>14878-000-1B-008-CB0</t>
  </si>
  <si>
    <t>11/27四川</t>
  </si>
  <si>
    <t>2E9GNG8Q/7RZF5WIU/8ZRQ178K</t>
  </si>
  <si>
    <t>12137-000-2G-008-CB0</t>
  </si>
  <si>
    <t>POHK-25-20555</t>
  </si>
  <si>
    <t>5HANLKYO/7E5SVR2K/37EWHRVR/3U94WONG/8L3QSI2I</t>
  </si>
  <si>
    <t>12136-000-2G-008-CB0
12137-000-2G-008-CB0</t>
  </si>
  <si>
    <t>6X5V2NLM</t>
  </si>
  <si>
    <t>1A57P9EK</t>
  </si>
  <si>
    <t>0576KTY01</t>
  </si>
  <si>
    <t>54Z4DBKB</t>
  </si>
  <si>
    <t>12136-000-2G-008-CB0</t>
  </si>
  <si>
    <t>Just Play LLC（AMZ东莞走货）</t>
  </si>
  <si>
    <t>POHK-26-00969</t>
  </si>
  <si>
    <t>XSDD000073</t>
  </si>
  <si>
    <t>1/29下四川</t>
  </si>
  <si>
    <t>8WQTFMQM，东莞出货</t>
  </si>
  <si>
    <t>186553OE
5NXSNEPH</t>
  </si>
  <si>
    <t>12137-000-2G-008-CB0
12136-000-2G-008-CB0</t>
  </si>
  <si>
    <t>1706KTY01</t>
  </si>
  <si>
    <t>1RVTPC3K-DC#LGB1
214EYMAS-DC#ORF1</t>
  </si>
  <si>
    <t>2X1G1YHT-DC#SAV1</t>
  </si>
  <si>
    <t>5UQ6ZV4M-DC#LGB1</t>
  </si>
  <si>
    <t>6363ZBNT-DC#ORF1</t>
  </si>
  <si>
    <t>8D2STYKT-DC#SAV1</t>
  </si>
  <si>
    <t>1M1ZC1AI -DC#ORF1
2LBJPJNV -DC#ORF1</t>
  </si>
  <si>
    <t>7BQP5QVO -DC#KUS2</t>
  </si>
  <si>
    <t>POHK-26-16956</t>
  </si>
  <si>
    <t>XSDD000865</t>
  </si>
  <si>
    <t>7/17下</t>
  </si>
  <si>
    <t>1HGDQFFX -DC#SAV1</t>
  </si>
  <si>
    <t>4EM2LFDE -DC#SAV1</t>
  </si>
  <si>
    <t>6YK4KH5Z -DC#ORF1</t>
  </si>
  <si>
    <t>电池按客户订单数量购买</t>
  </si>
  <si>
    <t>产品MO库存</t>
  </si>
  <si>
    <t>彩盒库存</t>
  </si>
  <si>
    <t>IC+主板库存</t>
  </si>
  <si>
    <t>电池按订单采购</t>
  </si>
  <si>
    <t>2026年#14745坐姿米奇&amp;米妮系列订单汇总表</t>
  </si>
  <si>
    <t>#14746
米奇</t>
  </si>
  <si>
    <t>#14747
米妮</t>
  </si>
  <si>
    <t>7/23订</t>
  </si>
  <si>
    <t>3L胶袋</t>
  </si>
  <si>
    <t>11/26下四川</t>
  </si>
  <si>
    <t>1PC/胶袋，12PC/外箱+贴纸，独立包装</t>
  </si>
  <si>
    <t>7783ULHC/5CN6AL7T</t>
  </si>
  <si>
    <t>14747-000-1D-012-PG0</t>
  </si>
  <si>
    <t>5HAG1RQU</t>
  </si>
  <si>
    <t>POHK-26-07060</t>
  </si>
  <si>
    <t>XSDD000293</t>
  </si>
  <si>
    <t>4/14订</t>
  </si>
  <si>
    <t>1PC/胶袋/热封，12PC/外箱+贴纸，独立包装</t>
  </si>
  <si>
    <t>5WAE7NAM</t>
  </si>
  <si>
    <t>14747-000-1D-012-PG0
14746-000-1D-012-PG0</t>
  </si>
  <si>
    <t>5Y55SR5B
7SSECCEB</t>
  </si>
  <si>
    <t>7ZFG14MD</t>
  </si>
  <si>
    <t xml:space="preserve">6/10下 </t>
  </si>
  <si>
    <t>65XAS6ZO-DC#NNJ1</t>
  </si>
  <si>
    <t>7E8VER2O -DC#LGB1</t>
  </si>
  <si>
    <t>516RX9NZ -DC#SAV1</t>
  </si>
  <si>
    <t>6H27Y5IR -DC#LGB1</t>
  </si>
  <si>
    <t>POHK-26-07328</t>
  </si>
  <si>
    <t>XSDD000292</t>
  </si>
  <si>
    <t>4/11订</t>
  </si>
  <si>
    <t>3ORY2E5O
48RUYKEP</t>
  </si>
  <si>
    <t>4JF7ZCSY
6UBPEUXD</t>
  </si>
  <si>
    <t>5BC4ZAMF
6UBPEUXD</t>
  </si>
  <si>
    <t>3GG3GUSM -DC#ORF1</t>
  </si>
  <si>
    <t>6QLVVVDO-DC#SAV1</t>
  </si>
  <si>
    <t>88OFHXFG-DC#ORF1</t>
  </si>
  <si>
    <t>1SJ9ERGM-DC#SAV1
161D1NPL-DC#SAV1</t>
  </si>
  <si>
    <t>221P8OMB-DC#ORF1
822AB96V-DC#ORF1</t>
  </si>
  <si>
    <t>58P63PCQ -DC#LGB1</t>
  </si>
  <si>
    <t>24J2KFTT -DC#SAV1</t>
  </si>
  <si>
    <t>5G9P8AUL -DC#ORF1</t>
  </si>
  <si>
    <t>639MROUE -DC#SAV1</t>
  </si>
  <si>
    <t>14YA4J6Z -DC#SAV1</t>
  </si>
  <si>
    <t>14746-000-1D-012-PG0</t>
  </si>
  <si>
    <t>1SP69DMP -DC#ORF1</t>
  </si>
  <si>
    <t>26OLBC5L -DC#ORF1</t>
  </si>
  <si>
    <t>5O4Y8M1W -DC#SAV1</t>
  </si>
  <si>
    <t>合  计</t>
  </si>
  <si>
    <t xml:space="preserve">  </t>
  </si>
  <si>
    <t xml:space="preserve"> </t>
  </si>
  <si>
    <t>2026年#88188背包狗系列订单汇总表</t>
  </si>
  <si>
    <t>配件胶袋</t>
  </si>
  <si>
    <t>产线MA单</t>
  </si>
  <si>
    <t>CL_Meijer</t>
  </si>
  <si>
    <t>POHK-25-15703</t>
  </si>
  <si>
    <t>1/5/2026</t>
  </si>
  <si>
    <t>12/11下四川</t>
  </si>
  <si>
    <t>1PC/吊牌，2PCS/外箱</t>
  </si>
  <si>
    <t>218062424</t>
  </si>
  <si>
    <t>88188-000-2C-002-HT0</t>
  </si>
  <si>
    <t>Joanna</t>
  </si>
  <si>
    <t>POHK-25-21490</t>
  </si>
  <si>
    <t>XSDD000053</t>
  </si>
  <si>
    <t>12/29下四川</t>
  </si>
  <si>
    <t>1PC/吊牌+RFID+EPC，1PCS/外箱</t>
  </si>
  <si>
    <t>0963687754</t>
  </si>
  <si>
    <t>88188-000-1A-001-HT0</t>
  </si>
  <si>
    <t>POHK-25-22095</t>
  </si>
  <si>
    <t>XSDD000035</t>
  </si>
  <si>
    <t>1/20订</t>
  </si>
  <si>
    <t>2/6到</t>
  </si>
  <si>
    <t>1/16订</t>
  </si>
  <si>
    <t>1/26下四川</t>
  </si>
  <si>
    <t>0966893020</t>
  </si>
  <si>
    <t>POHK-26-00483</t>
  </si>
  <si>
    <t>XSDD000077</t>
  </si>
  <si>
    <t>0972899855</t>
  </si>
  <si>
    <t>POHK-26-11513</t>
  </si>
  <si>
    <t>XSDD000635</t>
  </si>
  <si>
    <t>inline 2026/6/26</t>
  </si>
  <si>
    <t>0999523175</t>
  </si>
  <si>
    <t>88188-000-2B-001-HT0</t>
  </si>
  <si>
    <t>POHK-26-11518</t>
  </si>
  <si>
    <t>XSDD000618</t>
  </si>
  <si>
    <t>6/12下</t>
  </si>
  <si>
    <t>0999523185</t>
  </si>
  <si>
    <t>POHK-26-11519</t>
  </si>
  <si>
    <t>XSDD000619</t>
  </si>
  <si>
    <t>0999523200</t>
  </si>
  <si>
    <t>POHK-26-11520</t>
  </si>
  <si>
    <t>XSDD000620</t>
  </si>
  <si>
    <t>218个用库存</t>
  </si>
  <si>
    <t>218个用库存
6/9下</t>
  </si>
  <si>
    <t xml:space="preserve">218个用库存
6/15订
</t>
  </si>
  <si>
    <t>0999523204</t>
  </si>
  <si>
    <t>POHK-26-11521</t>
  </si>
  <si>
    <t>XSDD000621</t>
  </si>
  <si>
    <t>6/15订</t>
  </si>
  <si>
    <t>0999523459</t>
  </si>
  <si>
    <t>POHK-26-11522</t>
  </si>
  <si>
    <t>XSDD000622</t>
  </si>
  <si>
    <t>0999523525</t>
  </si>
  <si>
    <t>POHK-26-11528</t>
  </si>
  <si>
    <t>XSDD000617</t>
  </si>
  <si>
    <t>0999523433</t>
  </si>
  <si>
    <t>POHK-26-11529</t>
  </si>
  <si>
    <t>XSDD000623</t>
  </si>
  <si>
    <t>0999523239</t>
  </si>
  <si>
    <t>POHK-26-11530</t>
  </si>
  <si>
    <t>XSDD000624</t>
  </si>
  <si>
    <t>0999523241</t>
  </si>
  <si>
    <t>POHK-26-11531</t>
  </si>
  <si>
    <t>XSDD000625</t>
  </si>
  <si>
    <t>0999523264</t>
  </si>
  <si>
    <t>POHK-26-11532</t>
  </si>
  <si>
    <t>XSDD000626</t>
  </si>
  <si>
    <t>0999523270</t>
  </si>
  <si>
    <t>POHK-26-11534</t>
  </si>
  <si>
    <t>XSDD000627</t>
  </si>
  <si>
    <t>0999523346</t>
  </si>
  <si>
    <t>POHK-26-11536</t>
  </si>
  <si>
    <t>XSDD000629</t>
  </si>
  <si>
    <t>0999522871</t>
  </si>
  <si>
    <t>POHK-26-11537</t>
  </si>
  <si>
    <t>XSDD000630</t>
  </si>
  <si>
    <t>0999522925</t>
  </si>
  <si>
    <t>POHK-26-11538</t>
  </si>
  <si>
    <t>XSDD000631</t>
  </si>
  <si>
    <t>0999522968</t>
  </si>
  <si>
    <t>POHK-26-11540</t>
  </si>
  <si>
    <t>XSDD000633</t>
  </si>
  <si>
    <t>0999523008</t>
  </si>
  <si>
    <t>POHK-26-11541</t>
  </si>
  <si>
    <t>XSDD000634</t>
  </si>
  <si>
    <t>0999523013</t>
  </si>
  <si>
    <t>POHK-26-13537</t>
  </si>
  <si>
    <t>XSDD000703</t>
  </si>
  <si>
    <t>6/22订</t>
  </si>
  <si>
    <t>6/23订</t>
  </si>
  <si>
    <t>POHK-26-13543</t>
  </si>
  <si>
    <t>XSDD000694</t>
  </si>
  <si>
    <t>补抽样差数及小关样板</t>
  </si>
  <si>
    <t>FO00000250</t>
  </si>
  <si>
    <t>M26A004</t>
  </si>
  <si>
    <t>合 计</t>
  </si>
  <si>
    <t>2026年 #28472   11" 浅黄色狮子 订单汇总表</t>
  </si>
  <si>
    <t>包装版本</t>
  </si>
  <si>
    <t>RFID</t>
  </si>
  <si>
    <t>6/14订</t>
  </si>
  <si>
    <t>1PC/彩盒+RFID/箱，60箱/卡板</t>
  </si>
  <si>
    <t>28472-000-1C-001-OPS</t>
  </si>
  <si>
    <t>POHK-25-21487</t>
  </si>
  <si>
    <t>XSDD000038</t>
  </si>
  <si>
    <t>0963687736</t>
  </si>
  <si>
    <t>POHK-25-22091</t>
  </si>
  <si>
    <t>XSDD000034</t>
  </si>
  <si>
    <t>0966892972</t>
  </si>
  <si>
    <t>POHK-25-22092</t>
  </si>
  <si>
    <t>0966892991</t>
  </si>
  <si>
    <t>POHK-25-22093</t>
  </si>
  <si>
    <t>0966893004</t>
  </si>
  <si>
    <t>POHK-25-22096</t>
  </si>
  <si>
    <t>0966893035</t>
  </si>
  <si>
    <t>POHK-26-00148</t>
  </si>
  <si>
    <t>XSDD000055</t>
  </si>
  <si>
    <t>0856KTY01</t>
  </si>
  <si>
    <t>0969848479</t>
  </si>
  <si>
    <t>POHK-26-00149</t>
  </si>
  <si>
    <t>XSDD000056</t>
  </si>
  <si>
    <t>0969848535</t>
  </si>
  <si>
    <t>POHK-26-00153</t>
  </si>
  <si>
    <t>XSDD000060</t>
  </si>
  <si>
    <t>3/30出1920
3/31出120，交清</t>
  </si>
  <si>
    <t>0969848600</t>
  </si>
  <si>
    <t>POHK-26-00152</t>
  </si>
  <si>
    <t>XSDD000059</t>
  </si>
  <si>
    <t>0969848610</t>
  </si>
  <si>
    <t>POHK-26-00154</t>
  </si>
  <si>
    <t>XSDD000061</t>
  </si>
  <si>
    <t>0969848612</t>
  </si>
  <si>
    <t>POHK-26-00150</t>
  </si>
  <si>
    <t>XSDD000057</t>
  </si>
  <si>
    <t>0969848631</t>
  </si>
  <si>
    <t>POHK-26-00151</t>
  </si>
  <si>
    <t>XSDD000058</t>
  </si>
  <si>
    <t>0969848633</t>
  </si>
  <si>
    <t>1/27订</t>
  </si>
  <si>
    <t>3/2下四川</t>
  </si>
  <si>
    <t>POHK-26-00484</t>
  </si>
  <si>
    <t>XSDD000078</t>
  </si>
  <si>
    <t>0972899875</t>
  </si>
  <si>
    <t>POHK-26-00485</t>
  </si>
  <si>
    <t>XSDD000079</t>
  </si>
  <si>
    <t>0972899888</t>
  </si>
  <si>
    <t>POHK-26-00486</t>
  </si>
  <si>
    <t>XSDD000080</t>
  </si>
  <si>
    <t>0972899889</t>
  </si>
  <si>
    <t>POHK-26-00487</t>
  </si>
  <si>
    <t>XSDD000081</t>
  </si>
  <si>
    <t>0972899906</t>
  </si>
  <si>
    <t>POHK-26-00488</t>
  </si>
  <si>
    <t>XSDD000082</t>
  </si>
  <si>
    <t>0972899912</t>
  </si>
  <si>
    <t>POHK-26-00489</t>
  </si>
  <si>
    <t>XSDD000083</t>
  </si>
  <si>
    <t>0972899931</t>
  </si>
  <si>
    <t>POHK-26-01215</t>
  </si>
  <si>
    <t>XSDD000113</t>
  </si>
  <si>
    <t>3/4订</t>
  </si>
  <si>
    <t>0976244542</t>
  </si>
  <si>
    <t>POHK-26-01220</t>
  </si>
  <si>
    <t>XSDD000112</t>
  </si>
  <si>
    <t>0976244628</t>
  </si>
  <si>
    <t>POHK-26-01894</t>
  </si>
  <si>
    <t>XSDD000180</t>
  </si>
  <si>
    <t>1186KTY01</t>
  </si>
  <si>
    <t>3/19订</t>
  </si>
  <si>
    <t>3/20下四川</t>
  </si>
  <si>
    <t>5/21交900，5/22交180，交清</t>
  </si>
  <si>
    <t>0979431140</t>
  </si>
  <si>
    <t>The Warehouse</t>
  </si>
  <si>
    <t>POHK-26-01987</t>
  </si>
  <si>
    <t>XSDD000154</t>
  </si>
  <si>
    <t>5/5下</t>
  </si>
  <si>
    <t>1PC/彩盒/箱
(邮件确认不用卡板）</t>
  </si>
  <si>
    <t>29556931</t>
  </si>
  <si>
    <t>测试版</t>
  </si>
  <si>
    <t>The Warehouse (NZ)</t>
  </si>
  <si>
    <t>DDD9/10</t>
  </si>
  <si>
    <t>1PC/彩盒/箱</t>
  </si>
  <si>
    <t>28472-000-1B-001-OPB</t>
  </si>
  <si>
    <t>2026年  #28483  振动球 订单汇总表</t>
  </si>
  <si>
    <t>吸塑</t>
  </si>
  <si>
    <t>贴纸</t>
  </si>
  <si>
    <t>POHK-25-19223</t>
  </si>
  <si>
    <t>3105KTY01</t>
  </si>
  <si>
    <t>10/10
四川</t>
  </si>
  <si>
    <t>10/10
订</t>
  </si>
  <si>
    <t>11-13下四川</t>
  </si>
  <si>
    <t>1PC/彩盒+RFID+EPC/箱,180箱/卡板+滑片纸</t>
  </si>
  <si>
    <t>0954188467</t>
  </si>
  <si>
    <t xml:space="preserve">28483-000-1B-001-OPS </t>
  </si>
  <si>
    <t>POHK-25-19224</t>
  </si>
  <si>
    <t>0954188462</t>
  </si>
  <si>
    <t>POHK-25-19225</t>
  </si>
  <si>
    <t>0954188465</t>
  </si>
  <si>
    <t>WM（Modset）</t>
  </si>
  <si>
    <t>POHK-25-19076</t>
  </si>
  <si>
    <t>11/3下四川</t>
  </si>
  <si>
    <t>1PC/彩盒+RFID+EPC/箱+2张粉色贴纸（11/4订）</t>
  </si>
  <si>
    <t>0954188864</t>
  </si>
  <si>
    <t>28483-000-1A-001-OPB</t>
  </si>
  <si>
    <t>POHK-25-19226</t>
  </si>
  <si>
    <t>0954188460</t>
  </si>
  <si>
    <t>POHK-25-19077</t>
  </si>
  <si>
    <t>0954188865</t>
  </si>
  <si>
    <t>POHK-25-19081</t>
  </si>
  <si>
    <t>0954188929</t>
  </si>
  <si>
    <t>POHK-25-19079</t>
  </si>
  <si>
    <t>0954188948</t>
  </si>
  <si>
    <t>POHK-25-19078</t>
  </si>
  <si>
    <t>0954188898</t>
  </si>
  <si>
    <t>POHK-25-19227</t>
  </si>
  <si>
    <t>0954188464</t>
  </si>
  <si>
    <t>POHK-25-19228</t>
  </si>
  <si>
    <t>0954188459</t>
  </si>
  <si>
    <t>POHK-25-19075</t>
  </si>
  <si>
    <t>0954188921</t>
  </si>
  <si>
    <t>POHK-25-19080</t>
  </si>
  <si>
    <t>0954188954</t>
  </si>
  <si>
    <t>POHK-25-19229</t>
  </si>
  <si>
    <t>XSDD000027</t>
  </si>
  <si>
    <t>0954188457</t>
  </si>
  <si>
    <t>POHK-25-19230</t>
  </si>
  <si>
    <t>0954188468</t>
  </si>
  <si>
    <t>POHK-25-19231</t>
  </si>
  <si>
    <t>2026/2/30</t>
  </si>
  <si>
    <t>0954188469</t>
  </si>
  <si>
    <t>POHK-25-19232</t>
  </si>
  <si>
    <t>12/16
四川</t>
  </si>
  <si>
    <t>12/11订</t>
  </si>
  <si>
    <t>0954188463</t>
  </si>
  <si>
    <t>POHK-25-19233</t>
  </si>
  <si>
    <t>0954188458</t>
  </si>
  <si>
    <t>POHK-25-19234</t>
  </si>
  <si>
    <t>0954188461</t>
  </si>
  <si>
    <t>1496KTY01</t>
  </si>
  <si>
    <t>4/28下</t>
  </si>
  <si>
    <t>4/17订</t>
  </si>
  <si>
    <t>1PC+电池贴纸/彩盒/箱</t>
  </si>
  <si>
    <t>POHK-26-08573</t>
  </si>
  <si>
    <t>XSDD000381</t>
  </si>
  <si>
    <t>5/7下</t>
  </si>
  <si>
    <t>0993550644</t>
  </si>
  <si>
    <t>POHK-26-08574</t>
  </si>
  <si>
    <t>XSDD000382</t>
  </si>
  <si>
    <t>0993550643</t>
  </si>
  <si>
    <t>POHK-26-08575</t>
  </si>
  <si>
    <t>XSDD000383</t>
  </si>
  <si>
    <t>0993550647</t>
  </si>
  <si>
    <t>POHK-26-08577</t>
  </si>
  <si>
    <t>XSDD000384</t>
  </si>
  <si>
    <t>0993550646</t>
  </si>
  <si>
    <t>POHK-26-08578</t>
  </si>
  <si>
    <t>XSDD000378</t>
  </si>
  <si>
    <t>0993550641</t>
  </si>
  <si>
    <t>POHK-26-08580</t>
  </si>
  <si>
    <t>0993550645</t>
  </si>
  <si>
    <t>POHK-26-08581</t>
  </si>
  <si>
    <t>0993550642</t>
  </si>
  <si>
    <t>POHK-26-09569</t>
  </si>
  <si>
    <t>XSDD000402</t>
  </si>
  <si>
    <t>4/24订</t>
  </si>
  <si>
    <t>0994928894</t>
  </si>
  <si>
    <t>POHK-26-09570</t>
  </si>
  <si>
    <t>XSDD000403</t>
  </si>
  <si>
    <t>0994928930</t>
  </si>
  <si>
    <t>POHK-26-09571</t>
  </si>
  <si>
    <t>XSDD000404</t>
  </si>
  <si>
    <t>0994928903</t>
  </si>
  <si>
    <t>POHK-26-09572</t>
  </si>
  <si>
    <t>XSDD000405</t>
  </si>
  <si>
    <t>0994928917</t>
  </si>
  <si>
    <t>POHK-26-09573</t>
  </si>
  <si>
    <t>XSDD000406</t>
  </si>
  <si>
    <t>0994928919</t>
  </si>
  <si>
    <t>POHK-26-09574</t>
  </si>
  <si>
    <t>XSDD000407</t>
  </si>
  <si>
    <t>0994928897</t>
  </si>
  <si>
    <t>POHK-26-09575</t>
  </si>
  <si>
    <t>XSDD000408</t>
  </si>
  <si>
    <t>0994928922</t>
  </si>
  <si>
    <t>POHK-26-09462</t>
  </si>
  <si>
    <t>XSDD000460</t>
  </si>
  <si>
    <t>1756KTY01</t>
  </si>
  <si>
    <t>5/7订</t>
  </si>
  <si>
    <t>0995883381</t>
  </si>
  <si>
    <t>POHK-26-09467</t>
  </si>
  <si>
    <t>XSDD000464</t>
  </si>
  <si>
    <t>0995883485</t>
  </si>
  <si>
    <t>POHK-26-10970</t>
  </si>
  <si>
    <t>XSDD000458</t>
  </si>
  <si>
    <t>0999612610</t>
  </si>
  <si>
    <t>POHK-26-10971</t>
  </si>
  <si>
    <t>XSDD000457</t>
  </si>
  <si>
    <t>0999612613</t>
  </si>
  <si>
    <t>POHK-26-10975</t>
  </si>
  <si>
    <t>XSDD000454</t>
  </si>
  <si>
    <t>0999612612</t>
  </si>
  <si>
    <t>POHK-26-10973</t>
  </si>
  <si>
    <t>XSDD000456</t>
  </si>
  <si>
    <t>0999612611</t>
  </si>
  <si>
    <t>POHK-26-10974</t>
  </si>
  <si>
    <t>XSDD000455</t>
  </si>
  <si>
    <t>0999612614</t>
  </si>
  <si>
    <t>POHK-26-16128</t>
  </si>
  <si>
    <t>XSDD000758</t>
  </si>
  <si>
    <t>7/1下</t>
  </si>
  <si>
    <t>7/2订</t>
  </si>
  <si>
    <t>7/18下</t>
  </si>
  <si>
    <t>0002569387</t>
  </si>
  <si>
    <t>28483-000-1B-001-OPS</t>
  </si>
  <si>
    <t>28483MA26007</t>
  </si>
  <si>
    <t>POHK-26-16129</t>
  </si>
  <si>
    <t>XSDD000759</t>
  </si>
  <si>
    <t>0002569391</t>
  </si>
  <si>
    <t>POHK-26-16130</t>
  </si>
  <si>
    <t>XSDD000760</t>
  </si>
  <si>
    <t>0002569427</t>
  </si>
  <si>
    <t>POHK-26-16133</t>
  </si>
  <si>
    <t>XSDD000761</t>
  </si>
  <si>
    <t>0002569452</t>
  </si>
  <si>
    <t>POHK-26-16134</t>
  </si>
  <si>
    <t>XSDD000763</t>
  </si>
  <si>
    <t>0002569471</t>
  </si>
  <si>
    <t>POHK-26-16135</t>
  </si>
  <si>
    <t>XSDD000762</t>
  </si>
  <si>
    <t>0002569491</t>
  </si>
  <si>
    <t>7/11下</t>
  </si>
  <si>
    <t>1PC/彩盒+RFID+EPC/箱（7/20修改包装方式和货期）</t>
  </si>
  <si>
    <t>POHK-26-16137</t>
  </si>
  <si>
    <t>XSDD000764</t>
  </si>
  <si>
    <t>0002569251</t>
  </si>
  <si>
    <t>POHK-26-16138</t>
  </si>
  <si>
    <t>XSDD000765</t>
  </si>
  <si>
    <t>0002569257</t>
  </si>
  <si>
    <t>POHK-26-16139</t>
  </si>
  <si>
    <t>XSDD000766</t>
  </si>
  <si>
    <t>0002569262</t>
  </si>
  <si>
    <t>POHK-26-16141</t>
  </si>
  <si>
    <t>XSDD000767</t>
  </si>
  <si>
    <t>0002569295</t>
  </si>
  <si>
    <t>POHK-26-16142</t>
  </si>
  <si>
    <t>XSDD000768</t>
  </si>
  <si>
    <t>0002569304</t>
  </si>
  <si>
    <t>POHK-26-16143</t>
  </si>
  <si>
    <t>XSDD000769</t>
  </si>
  <si>
    <t>0002569317</t>
  </si>
  <si>
    <t>POHK-26-13530</t>
  </si>
  <si>
    <t>XSDD000707</t>
  </si>
  <si>
    <t>6/17订</t>
  </si>
  <si>
    <t>1PC/彩盒+RFID+EPC/箱（7/20修改包装方式）</t>
  </si>
  <si>
    <t>POHK-26-16144</t>
  </si>
  <si>
    <t>XSDD000770</t>
  </si>
  <si>
    <t>0002569457</t>
  </si>
  <si>
    <t>POHK-26-16145</t>
  </si>
  <si>
    <t>XSDD000771</t>
  </si>
  <si>
    <t>0002569473</t>
  </si>
  <si>
    <t>POHK-26-16146</t>
  </si>
  <si>
    <t>XSDD000772</t>
  </si>
  <si>
    <t>0002569495</t>
  </si>
  <si>
    <t>POHK-26-16147</t>
  </si>
  <si>
    <t>XSDD000773</t>
  </si>
  <si>
    <t>0002569506</t>
  </si>
  <si>
    <t>POHK-26-16148</t>
  </si>
  <si>
    <t>XSDD000774</t>
  </si>
  <si>
    <t>0002569531</t>
  </si>
  <si>
    <t>POHK-26-16149</t>
  </si>
  <si>
    <t>XSDD000775</t>
  </si>
  <si>
    <t>0002569533</t>
  </si>
  <si>
    <t>POHK-26-13533</t>
  </si>
  <si>
    <t>XSDD000712</t>
  </si>
  <si>
    <t>POHK-26-13532</t>
  </si>
  <si>
    <t>XSDD000705</t>
  </si>
  <si>
    <t>POHK-26-13531</t>
  </si>
  <si>
    <t>XSDD000708</t>
  </si>
  <si>
    <t>POHK-26-13534</t>
  </si>
  <si>
    <t>XSDD000700</t>
  </si>
  <si>
    <t>POHK-26-13535</t>
  </si>
  <si>
    <t>XSDD000711</t>
  </si>
  <si>
    <t>POHK-26-13536</t>
  </si>
  <si>
    <t>XSDD000706</t>
  </si>
  <si>
    <t>POHK-26-11535</t>
  </si>
  <si>
    <t>XSDD000628</t>
  </si>
  <si>
    <t>0999522761</t>
  </si>
  <si>
    <t>POHK-26-16151</t>
  </si>
  <si>
    <t>XSDD000780</t>
  </si>
  <si>
    <t>0002569383</t>
  </si>
  <si>
    <t>POHK-26-16152</t>
  </si>
  <si>
    <t>XSDD000779</t>
  </si>
  <si>
    <t>0002569476</t>
  </si>
  <si>
    <t>POHK-26-16154</t>
  </si>
  <si>
    <t>XSDD000781</t>
  </si>
  <si>
    <t>0002569487</t>
  </si>
  <si>
    <t>POHK-26-16155</t>
  </si>
  <si>
    <t>XSDD000782</t>
  </si>
  <si>
    <t>2366KTY01
贴纸改日期码</t>
  </si>
  <si>
    <t>2366KTY01</t>
  </si>
  <si>
    <t>0002569559</t>
  </si>
  <si>
    <t>POHK-26-16156</t>
  </si>
  <si>
    <t>XSDD000783</t>
  </si>
  <si>
    <t>0002569562</t>
  </si>
  <si>
    <t>POHK-26-16157</t>
  </si>
  <si>
    <t>XSDD000784</t>
  </si>
  <si>
    <t>0002569565</t>
  </si>
  <si>
    <t>POHK-26-13538</t>
  </si>
  <si>
    <t>XSDD000709</t>
  </si>
  <si>
    <t>POHK-26-13539</t>
  </si>
  <si>
    <t>XSDD000710</t>
  </si>
  <si>
    <t>POHK-26-13540</t>
  </si>
  <si>
    <t>XSDD000704</t>
  </si>
  <si>
    <t>POHK-26-13542</t>
  </si>
  <si>
    <t>XSDD000702</t>
  </si>
  <si>
    <t>POHK-26-13541</t>
  </si>
  <si>
    <t>XSDD000701</t>
  </si>
  <si>
    <t>POHK-26-13544</t>
  </si>
  <si>
    <t>XSDD000693</t>
  </si>
  <si>
    <t>POHK-26-13545</t>
  </si>
  <si>
    <t>XSDD000692</t>
  </si>
  <si>
    <t>POHK-26-13546</t>
  </si>
  <si>
    <t>XSDD000697</t>
  </si>
  <si>
    <t>POHK-26-13550</t>
  </si>
  <si>
    <t>XSDD000695</t>
  </si>
  <si>
    <t>POHK-26-13552</t>
  </si>
  <si>
    <t>XSDD000696</t>
  </si>
  <si>
    <t>POHK-26-16158</t>
  </si>
  <si>
    <t>XSDD000787</t>
  </si>
  <si>
    <t>0002569440</t>
  </si>
  <si>
    <t>POHK-26-16160</t>
  </si>
  <si>
    <t>XSDD000786</t>
  </si>
  <si>
    <t>0002569483</t>
  </si>
  <si>
    <t>POHK-26-16161</t>
  </si>
  <si>
    <t>XSDD000785</t>
  </si>
  <si>
    <t>0002569494</t>
  </si>
  <si>
    <t>POHK-26-16162</t>
  </si>
  <si>
    <t>XSDD000790</t>
  </si>
  <si>
    <t>0002569532</t>
  </si>
  <si>
    <t>POHK-26-16163</t>
  </si>
  <si>
    <t>XSDD000789</t>
  </si>
  <si>
    <t>0002569555</t>
  </si>
  <si>
    <t>POHK-26-16164</t>
  </si>
  <si>
    <t>XSDD000788</t>
  </si>
  <si>
    <t>0002569564</t>
  </si>
  <si>
    <t xml:space="preserve">WHB </t>
  </si>
  <si>
    <t>POHK-26-15343</t>
  </si>
  <si>
    <t>XSDD000834</t>
  </si>
  <si>
    <t>1PC+客供贴纸/彩盒/箱</t>
  </si>
  <si>
    <t>POJSTP0001</t>
  </si>
  <si>
    <t>Sunny Brinquedos</t>
  </si>
  <si>
    <t>DDD8/21</t>
  </si>
  <si>
    <t>FO00000252</t>
  </si>
  <si>
    <t>3066KTY01</t>
  </si>
  <si>
    <t>1PC/彩盒+客供贴纸/箱</t>
  </si>
  <si>
    <t>抽板补数及工程样品</t>
  </si>
  <si>
    <t>DDD10/10</t>
  </si>
  <si>
    <t>Toyrrific, Israel</t>
  </si>
  <si>
    <t>DDDD10/8</t>
  </si>
  <si>
    <t>客订单合计</t>
  </si>
  <si>
    <t>已下单数量</t>
  </si>
  <si>
    <t>2026年  #28481  骰子 订单汇总表</t>
  </si>
  <si>
    <t>产品组合明细</t>
  </si>
  <si>
    <t>透明盒/内卡纸</t>
  </si>
  <si>
    <t>1#
骰子</t>
  </si>
  <si>
    <t>2#
骰子</t>
  </si>
  <si>
    <t>3#
骰子</t>
  </si>
  <si>
    <t>4#
骰子</t>
  </si>
  <si>
    <t>5#
骰子</t>
  </si>
  <si>
    <t>6#
骰子</t>
  </si>
  <si>
    <t>7#
骰子</t>
  </si>
  <si>
    <t>8#
骰子</t>
  </si>
  <si>
    <t>9#
骰子</t>
  </si>
  <si>
    <t>10#
骰子</t>
  </si>
  <si>
    <t>11#
骰子</t>
  </si>
  <si>
    <t>12#
骰子</t>
  </si>
  <si>
    <t>11/13下四川</t>
  </si>
  <si>
    <t>12PCS为1套/彩盒+RFID+EPC，4盒/箱，120箱/卡板+滑片纸（包3边）</t>
  </si>
  <si>
    <t>28481-000-1B-004-ABS</t>
  </si>
  <si>
    <t>POHK-25-19083</t>
  </si>
  <si>
    <t>12PCS为1套/彩盒+RFID+EPC，4盒/箱+2张粉色贴纸（11/4已订）</t>
  </si>
  <si>
    <t>0954188871</t>
  </si>
  <si>
    <t>28481-000-1A-004-AB0</t>
  </si>
  <si>
    <t>POHK-25-19084</t>
  </si>
  <si>
    <t>0954188878</t>
  </si>
  <si>
    <t>POHK-25-19088</t>
  </si>
  <si>
    <t>0954188869</t>
  </si>
  <si>
    <t>POHK-25-19086</t>
  </si>
  <si>
    <t>0954188918</t>
  </si>
  <si>
    <t>POHK-25-19085</t>
  </si>
  <si>
    <t>0954188907</t>
  </si>
  <si>
    <t>POHK-25-19082</t>
  </si>
  <si>
    <t>0954188910</t>
  </si>
  <si>
    <t>POHK-25-19087</t>
  </si>
  <si>
    <t>0954188923</t>
  </si>
  <si>
    <t>12PCS为1套/彩盒，4盒/箱</t>
  </si>
  <si>
    <t>5/8下</t>
  </si>
  <si>
    <t>POHK-25-08580</t>
  </si>
  <si>
    <t>XSDD000379</t>
  </si>
  <si>
    <t>XSDD000380</t>
  </si>
  <si>
    <t>POHK-26-09460</t>
  </si>
  <si>
    <t>XSDD000462</t>
  </si>
  <si>
    <t>1676KTY01</t>
  </si>
  <si>
    <t>12PCS为1套/彩盒+RFID+EPC，4盒/箱（7/20改包装方式）</t>
  </si>
  <si>
    <t>0995883325</t>
  </si>
  <si>
    <t>POHK-26-09465</t>
  </si>
  <si>
    <t>XSDD000461</t>
  </si>
  <si>
    <t>0995883329</t>
  </si>
  <si>
    <t>POHK-26-09466</t>
  </si>
  <si>
    <t>XSDD000459</t>
  </si>
  <si>
    <t>0995883424</t>
  </si>
  <si>
    <t>POHK-26-11517</t>
  </si>
  <si>
    <t>XSDD000612</t>
  </si>
  <si>
    <t>1906KTY01</t>
  </si>
  <si>
    <t>6/29下</t>
  </si>
  <si>
    <t>0999523242</t>
  </si>
  <si>
    <t>POHK-26-09459</t>
  </si>
  <si>
    <t>XSDD000465</t>
  </si>
  <si>
    <t>0995883457</t>
  </si>
  <si>
    <t>POHK-26-09463</t>
  </si>
  <si>
    <t>XSDD000463</t>
  </si>
  <si>
    <t>0995883500</t>
  </si>
  <si>
    <t>POHK-26-11515</t>
  </si>
  <si>
    <t>XSDD000610</t>
  </si>
  <si>
    <t>12PCS为1套/彩盒+RFID+EPC，4盒/箱（7/20改包装方式和货期）</t>
  </si>
  <si>
    <t>0999523215</t>
  </si>
  <si>
    <t>POHK-26-11514</t>
  </si>
  <si>
    <t>XSDD000609</t>
  </si>
  <si>
    <t>0999523212</t>
  </si>
  <si>
    <t>POHK-26-11524</t>
  </si>
  <si>
    <t>XSDD000613</t>
  </si>
  <si>
    <t>0999523351</t>
  </si>
  <si>
    <t>POHK-26-11526</t>
  </si>
  <si>
    <t>XSDD000615</t>
  </si>
  <si>
    <t>0999523407</t>
  </si>
  <si>
    <t>POHK-26-11527</t>
  </si>
  <si>
    <t>XSDD000616</t>
  </si>
  <si>
    <t>0999523409</t>
  </si>
  <si>
    <t>POHK-26-11525</t>
  </si>
  <si>
    <t>XSDD000614</t>
  </si>
  <si>
    <t>0999523486</t>
  </si>
  <si>
    <t>POHK-26-11539</t>
  </si>
  <si>
    <t>XSDD000632</t>
  </si>
  <si>
    <t>0999522987</t>
  </si>
  <si>
    <t>POHK-26-11516</t>
  </si>
  <si>
    <t>XSDD000611</t>
  </si>
  <si>
    <t>0999523216</t>
  </si>
  <si>
    <t>2406KTY01</t>
  </si>
  <si>
    <t>WHB</t>
  </si>
  <si>
    <t>12PCS为1套+客供贴纸/彩盒，4盒/箱</t>
  </si>
  <si>
    <t>POHK-26-16099</t>
  </si>
  <si>
    <t>XSDD000843</t>
  </si>
  <si>
    <t>0002569365</t>
  </si>
  <si>
    <t>28481MA26006</t>
  </si>
  <si>
    <t>POHK-26-16100</t>
  </si>
  <si>
    <t>XSDD000842</t>
  </si>
  <si>
    <t>0002569405</t>
  </si>
  <si>
    <t>POHK-26-16101</t>
  </si>
  <si>
    <t>XSDD000841</t>
  </si>
  <si>
    <t>0002569446</t>
  </si>
  <si>
    <t>POHK-26-16104</t>
  </si>
  <si>
    <t>XSDD000844</t>
  </si>
  <si>
    <t>0002569519</t>
  </si>
  <si>
    <t>POHK-26-16105</t>
  </si>
  <si>
    <t>XSDD000840</t>
  </si>
  <si>
    <t>0002569526</t>
  </si>
  <si>
    <t>POHK-26-16106</t>
  </si>
  <si>
    <t>XSDD000845</t>
  </si>
  <si>
    <t>0002569557</t>
  </si>
  <si>
    <t>POHK-26-16107</t>
  </si>
  <si>
    <t>XSDD000849</t>
  </si>
  <si>
    <t>2646KTY01</t>
  </si>
  <si>
    <t>8/22下</t>
  </si>
  <si>
    <t>0002569281</t>
  </si>
  <si>
    <t>POHK-26-16109</t>
  </si>
  <si>
    <t>XSDD000848</t>
  </si>
  <si>
    <t>0002569285</t>
  </si>
  <si>
    <t>POHK-26-16110</t>
  </si>
  <si>
    <t>XSDD000847</t>
  </si>
  <si>
    <t>0002569303</t>
  </si>
  <si>
    <t>POHK-26-16113</t>
  </si>
  <si>
    <t>XSDD000850</t>
  </si>
  <si>
    <t>0002569334</t>
  </si>
  <si>
    <t>POHK-26-16115</t>
  </si>
  <si>
    <t>XSDD000846</t>
  </si>
  <si>
    <t>0002569345</t>
  </si>
  <si>
    <t>POHK-26-16116</t>
  </si>
  <si>
    <t>XSDD000851</t>
  </si>
  <si>
    <t>0002569361</t>
  </si>
  <si>
    <t>POHK-26-16119</t>
  </si>
  <si>
    <t>XSDD000891</t>
  </si>
  <si>
    <t>0002569416</t>
  </si>
  <si>
    <t>POHK-26-16122</t>
  </si>
  <si>
    <t>XSDD000892</t>
  </si>
  <si>
    <t>0002569433</t>
  </si>
  <si>
    <t>POHK-26-16123</t>
  </si>
  <si>
    <t>XSDD000893</t>
  </si>
  <si>
    <t>0002569436</t>
  </si>
  <si>
    <t>POHK-26-16124</t>
  </si>
  <si>
    <t>XSDD000894</t>
  </si>
  <si>
    <t>0002569454</t>
  </si>
  <si>
    <t>POHK-26-16126</t>
  </si>
  <si>
    <t>XSDD000895</t>
  </si>
  <si>
    <t>0002569513</t>
  </si>
  <si>
    <t>POHK-26-16127</t>
  </si>
  <si>
    <t>XSDD000896</t>
  </si>
  <si>
    <t>0002569541</t>
  </si>
  <si>
    <t>DDD9/23</t>
  </si>
  <si>
    <r>
      <rPr>
        <b/>
        <sz val="18"/>
        <rFont val="宋体"/>
        <charset val="134"/>
      </rPr>
      <t>2026年 #28458</t>
    </r>
    <r>
      <rPr>
        <b/>
        <sz val="14"/>
        <rFont val="宋体"/>
        <charset val="134"/>
      </rPr>
      <t xml:space="preserve"> </t>
    </r>
    <r>
      <rPr>
        <b/>
        <sz val="18"/>
        <rFont val="宋体"/>
        <charset val="134"/>
      </rPr>
      <t>五款硅胶手感球 订单汇总表</t>
    </r>
  </si>
  <si>
    <t>25458-1
乌龟</t>
  </si>
  <si>
    <t>25458-2
鲸鱼</t>
  </si>
  <si>
    <t>25458-3蜜蜂</t>
  </si>
  <si>
    <t>25458-4
狮子</t>
  </si>
  <si>
    <t>25458-5
大象</t>
  </si>
  <si>
    <t>8/9订</t>
  </si>
  <si>
    <t>0656KTY01</t>
  </si>
  <si>
    <t>8/9
订购</t>
  </si>
  <si>
    <t>5款各1PC为一套/彩盒+RFID，3套/箱</t>
  </si>
  <si>
    <t>28458-000-1A-003-OB0</t>
  </si>
  <si>
    <t>3/2下3017</t>
  </si>
  <si>
    <t>3/5订3017</t>
  </si>
  <si>
    <t>4/8出960
4/10出3936，交清</t>
  </si>
  <si>
    <t>3/5订</t>
  </si>
  <si>
    <t>1/30订</t>
  </si>
  <si>
    <t>3/2订</t>
  </si>
  <si>
    <t>3/9订</t>
  </si>
  <si>
    <t>3/21订</t>
  </si>
  <si>
    <t>5款各1PC为一套/彩盒+RFID+EPC，3套/箱</t>
  </si>
  <si>
    <t>3/25订930</t>
  </si>
  <si>
    <t>5款各1PC为一套/彩盒，3套/箱</t>
  </si>
  <si>
    <t>3/25订</t>
  </si>
  <si>
    <t>6/4订</t>
  </si>
  <si>
    <t>1846KTY01</t>
  </si>
  <si>
    <t>6/24下</t>
  </si>
  <si>
    <t>inline 
2026/7/7</t>
  </si>
  <si>
    <t>QC常平复验寄走3箱，另拆坏10个，产线需补数</t>
  </si>
  <si>
    <t>取消</t>
  </si>
  <si>
    <t>所有PO待美国通知</t>
  </si>
  <si>
    <t>6/18订</t>
  </si>
  <si>
    <t>1003448839</t>
  </si>
  <si>
    <t>POHK-26-13549</t>
  </si>
  <si>
    <t>XSDD000698</t>
  </si>
  <si>
    <t>1003449402</t>
  </si>
  <si>
    <t>POHK-26-15343
8/20通知暂停</t>
  </si>
  <si>
    <t>供应商库存，未下单</t>
  </si>
  <si>
    <t>7/16订</t>
  </si>
  <si>
    <t>5款各1PC为一套+客供贴纸/彩盒，3套/箱</t>
  </si>
  <si>
    <t>DDD8/19</t>
  </si>
  <si>
    <t>常平验货</t>
  </si>
  <si>
    <t>Variety Wholesalers</t>
  </si>
  <si>
    <t>POHK-26-12532
7/22取消1800PCS</t>
  </si>
  <si>
    <t>XSDD000688</t>
  </si>
  <si>
    <t>单款包装，1PC/彩盒+客供价格贴纸+客供进口商贴纸，3PC/箱</t>
  </si>
  <si>
    <t>7/14运输Pass</t>
  </si>
  <si>
    <t>75152-000-1A-003-OTP
75153-000-1A-003-OTP
75154-000-1A-003-OTP</t>
  </si>
  <si>
    <t>POHK-26-12531
7/22取消1800PCS</t>
  </si>
  <si>
    <t>XSDD000687</t>
  </si>
  <si>
    <t>POHK-26-13031
7/22取消900PCS</t>
  </si>
  <si>
    <t>XSDD000690</t>
  </si>
  <si>
    <t>75152-000-1A-003-OTP
75153-000-1A-003-OTP</t>
  </si>
  <si>
    <t>POHK-26-13033
7/22取消900PCS</t>
  </si>
  <si>
    <t>XSDD000689</t>
  </si>
  <si>
    <t>2026年#33429 搪胶小鸭子系列13款订单汇总表</t>
  </si>
  <si>
    <t>#33429 每款比例分配</t>
  </si>
  <si>
    <t>#33416
史迪仔</t>
  </si>
  <si>
    <t>#33417
米奇</t>
  </si>
  <si>
    <t>#33419
唐老鸭</t>
  </si>
  <si>
    <t>#33420
维尼熊</t>
  </si>
  <si>
    <t>#33423
桑妮</t>
  </si>
  <si>
    <t>#33426
贝尔</t>
  </si>
  <si>
    <t>#33427
灰姑娘</t>
  </si>
  <si>
    <t>#33418
米妮</t>
  </si>
  <si>
    <t>#33421
老虎</t>
  </si>
  <si>
    <t>#33422
黛西</t>
  </si>
  <si>
    <t>#33424
雪宝</t>
  </si>
  <si>
    <t>#33425
艾莎</t>
  </si>
  <si>
    <t>#33428
爱丽</t>
  </si>
  <si>
    <t>POHK-25-01852
取消订单</t>
  </si>
  <si>
    <t>0515KTY01</t>
  </si>
  <si>
    <t>3/13
订</t>
  </si>
  <si>
    <t>3/17订</t>
  </si>
  <si>
    <t>3/29下</t>
  </si>
  <si>
    <t>1PC/胶袋热封，13款小鸭子/胶袋热封，78PCS/箱+客供贴纸(3/12寄）</t>
  </si>
  <si>
    <t>7BPAU3KD， UPC:886144334290</t>
  </si>
  <si>
    <t>33429-000-1A-006-HPG</t>
  </si>
  <si>
    <t>Winners</t>
  </si>
  <si>
    <t>POHK-26-03350</t>
  </si>
  <si>
    <t>XSDD000232</t>
  </si>
  <si>
    <t>1PC/胶袋热封，13款小鸭子/胶袋热封，78PCS/箱</t>
  </si>
  <si>
    <t>POHK-26-03410</t>
  </si>
  <si>
    <t>XSDD000231</t>
  </si>
  <si>
    <t>POHK-26-03384</t>
  </si>
  <si>
    <t>XSDD000230</t>
  </si>
  <si>
    <t>2026年 #33920  搪胶小鸭子系列7款订单汇总表</t>
  </si>
  <si>
    <t>33519
粉群米妮</t>
  </si>
  <si>
    <t>33643
莱亚公主</t>
  </si>
  <si>
    <t>33644
索罗</t>
  </si>
  <si>
    <t>33667
格罗古</t>
  </si>
  <si>
    <t>33729
曼达洛人</t>
  </si>
  <si>
    <t>MA单</t>
  </si>
  <si>
    <t>L2P</t>
  </si>
  <si>
    <t>POHK-26-14586</t>
  </si>
  <si>
    <t>XSDD000889</t>
  </si>
  <si>
    <t>2156KTY01</t>
  </si>
  <si>
    <t>7/22下</t>
  </si>
  <si>
    <t>7/8订</t>
  </si>
  <si>
    <r>
      <rPr>
        <sz val="9"/>
        <rFont val="宋体"/>
        <charset val="134"/>
      </rPr>
      <t>1PC/吊牌</t>
    </r>
    <r>
      <rPr>
        <sz val="9"/>
        <color rgb="FFFF0000"/>
        <rFont val="宋体"/>
        <charset val="134"/>
      </rPr>
      <t>（同一UPC：886144339202）</t>
    </r>
    <r>
      <rPr>
        <sz val="9"/>
        <rFont val="宋体"/>
        <charset val="134"/>
      </rPr>
      <t>，18PC/PDQ/内箱，2内箱/箱</t>
    </r>
  </si>
  <si>
    <t>8/13运输OK</t>
  </si>
  <si>
    <t>5849</t>
  </si>
  <si>
    <t>33920-L2P-1A-036-HTD</t>
  </si>
  <si>
    <t>MA26001</t>
  </si>
  <si>
    <t>一整箱+6个空PDQ</t>
  </si>
  <si>
    <t>9/9订</t>
  </si>
  <si>
    <t>MA26002</t>
  </si>
  <si>
    <t>2026年 #33782  搪胶小鸭子系列12款订单汇总表</t>
  </si>
  <si>
    <t>彩盒PDQ</t>
  </si>
  <si>
    <t>胶针</t>
  </si>
  <si>
    <t>#33486
莫阿娜</t>
  </si>
  <si>
    <t>#33629
小鸡</t>
  </si>
  <si>
    <t>#33423
桑尼</t>
  </si>
  <si>
    <t>#33622
迈克</t>
  </si>
  <si>
    <t>#33627
伊耶</t>
  </si>
  <si>
    <t>#33618
瓦力</t>
  </si>
  <si>
    <t>#33619
伊娃</t>
  </si>
  <si>
    <t>#33477
外星史迪仔</t>
  </si>
  <si>
    <t>#33476
天使</t>
  </si>
  <si>
    <t>#33481
胡迪</t>
  </si>
  <si>
    <t>#33478
巴斯</t>
  </si>
  <si>
    <t>TJX (POE)</t>
  </si>
  <si>
    <t>POHK-26-11743</t>
  </si>
  <si>
    <t>XSDD000517</t>
  </si>
  <si>
    <t>1666KTY01</t>
  </si>
  <si>
    <t>5/16下</t>
  </si>
  <si>
    <t>5/28订</t>
  </si>
  <si>
    <t>12款各1PC/彩盒+价格贴纸，48PCS/外箱</t>
  </si>
  <si>
    <t>2026/6/3运输
2026/6/18</t>
  </si>
  <si>
    <t>137054</t>
  </si>
  <si>
    <t>33782-000-1A-004-WB0</t>
  </si>
  <si>
    <t>POHK-26-11786</t>
  </si>
  <si>
    <t>XSDD000516</t>
  </si>
  <si>
    <t>137058</t>
  </si>
  <si>
    <t>POHK-26-12687</t>
  </si>
  <si>
    <t>XSDD000583</t>
  </si>
  <si>
    <t>137073</t>
  </si>
  <si>
    <t>POHK-26-12682</t>
  </si>
  <si>
    <t>XSDD000582</t>
  </si>
  <si>
    <t>137069</t>
  </si>
  <si>
    <t>Winners Canada</t>
  </si>
  <si>
    <t>POHK-26-12870</t>
  </si>
  <si>
    <t>XSDD000637</t>
  </si>
  <si>
    <t>6/27订</t>
  </si>
  <si>
    <t>40 015959</t>
  </si>
  <si>
    <t>POHK-26-12830</t>
  </si>
  <si>
    <t>XSDD000636</t>
  </si>
  <si>
    <t>40 015475</t>
  </si>
  <si>
    <t>Winners
Canada</t>
  </si>
  <si>
    <t>POHK-26-12768</t>
  </si>
  <si>
    <t>XSDD000580</t>
  </si>
  <si>
    <t>45 080547</t>
  </si>
  <si>
    <t>TJ Maxx</t>
  </si>
  <si>
    <t>POHK-26-16759</t>
  </si>
  <si>
    <t>XSDD000856</t>
  </si>
  <si>
    <t>2446KTY01</t>
  </si>
  <si>
    <t>8/8下</t>
  </si>
  <si>
    <t>7/15订</t>
  </si>
  <si>
    <t>10-063551/40-063551/60-063551/70-063551/80-063551</t>
  </si>
  <si>
    <t>Marshalls</t>
  </si>
  <si>
    <t>POHK-26-16760</t>
  </si>
  <si>
    <t>XSDD000857</t>
  </si>
  <si>
    <t>01-063546/04-063546/06-063546/07-063546/08-063546</t>
  </si>
  <si>
    <t>POHK-26-16876</t>
  </si>
  <si>
    <t>XSDD000862</t>
  </si>
  <si>
    <t>01-064749/04-064749/06-064749/07-064749/08-064749</t>
  </si>
  <si>
    <t>POHK-26-16878</t>
  </si>
  <si>
    <t>XSDD000863</t>
  </si>
  <si>
    <t>10-064757/40-064757/60-064757/70-064757/80-064757</t>
  </si>
  <si>
    <t>TJX Maxx Aust</t>
  </si>
  <si>
    <t>Jovin</t>
  </si>
  <si>
    <t>POHK-26-18387</t>
  </si>
  <si>
    <t>XSDD000953</t>
  </si>
  <si>
    <t>2886KTY01</t>
  </si>
  <si>
    <t>12款各1PC/彩盒，48PCS/外箱</t>
  </si>
  <si>
    <t>1117155</t>
  </si>
  <si>
    <t>847859</t>
  </si>
  <si>
    <t>847793</t>
  </si>
  <si>
    <t>2026年 #33454  搪胶小鸭子系列12款订单汇总表</t>
  </si>
  <si>
    <t>TJX</t>
  </si>
  <si>
    <t>POHK-25-21144</t>
  </si>
  <si>
    <t>3525KTY01,
12个只打一个日期码</t>
  </si>
  <si>
    <t>11/21四川</t>
  </si>
  <si>
    <t>11/17订</t>
  </si>
  <si>
    <t>12/1四川</t>
  </si>
  <si>
    <t>3525KTY01</t>
  </si>
  <si>
    <t>12款各1PC/彩盒，48PCS/外箱，（提前发日期码照片）</t>
  </si>
  <si>
    <t>10-721845/10-721845
60-721845/70-721845
80-721845</t>
  </si>
  <si>
    <t>33454-000-1A-004-WB0</t>
  </si>
  <si>
    <t>POHK-25-21146</t>
  </si>
  <si>
    <t>01-721830/04-721830
06-721830/07-721830
08-721830</t>
  </si>
  <si>
    <t>POHK-25-21152</t>
  </si>
  <si>
    <t>10-721866/40-721866
60-721866/70-721866
80-721866</t>
  </si>
  <si>
    <t>POHK-25-21155</t>
  </si>
  <si>
    <t>01-721857/04-721857
06-721857/07-721857
08-721857</t>
  </si>
  <si>
    <t>POHK-25-21023</t>
  </si>
  <si>
    <t>12/9凤订</t>
  </si>
  <si>
    <t>12款各1PC/彩盒+价格贴纸12/8已到，48PCS/外箱</t>
  </si>
  <si>
    <t>40531370</t>
  </si>
  <si>
    <t>POHK-25-21200</t>
  </si>
  <si>
    <t>40531510</t>
  </si>
  <si>
    <t>POHK-25-20995</t>
  </si>
  <si>
    <t>45439922</t>
  </si>
  <si>
    <t xml:space="preserve"> Amazon UK </t>
  </si>
  <si>
    <t>POHK-26-00845</t>
  </si>
  <si>
    <t>XSDD000062</t>
  </si>
  <si>
    <t>其中一个鸭子贴贴纸，都不印日期码</t>
  </si>
  <si>
    <t>12款各1PC+圆形贴纸（1/29已订）/彩盒+贴纸，48PCS/外箱+贴纸</t>
  </si>
  <si>
    <t>7ARA1BAN</t>
  </si>
  <si>
    <t>POHK-26-01625</t>
  </si>
  <si>
    <t>XSDD000105</t>
  </si>
  <si>
    <t>12个只打一个日期码</t>
  </si>
  <si>
    <t>0766KTY01</t>
  </si>
  <si>
    <t>225211</t>
  </si>
  <si>
    <t>Marshall</t>
  </si>
  <si>
    <t>POHK-26-01577</t>
  </si>
  <si>
    <t>XSDD000104</t>
  </si>
  <si>
    <t>POHK-26-01655</t>
  </si>
  <si>
    <t>XSDD000102</t>
  </si>
  <si>
    <t>1126KTY01</t>
  </si>
  <si>
    <t>222370</t>
  </si>
  <si>
    <t>POHK-26-01662</t>
  </si>
  <si>
    <t>XSDD000103</t>
  </si>
  <si>
    <t>222360</t>
  </si>
  <si>
    <t>TJX Aust</t>
  </si>
  <si>
    <t>POHK-26-04409</t>
  </si>
  <si>
    <t>XSDD000158</t>
  </si>
  <si>
    <t>3/26订</t>
  </si>
  <si>
    <t>1065863</t>
  </si>
  <si>
    <t>POHK-26-04411</t>
  </si>
  <si>
    <t>XSDD000159</t>
  </si>
  <si>
    <t>1065864</t>
  </si>
  <si>
    <t>ASDA UK</t>
  </si>
  <si>
    <t>POHK-26-08916</t>
  </si>
  <si>
    <t>XSDD000334</t>
  </si>
  <si>
    <t>4/22订</t>
  </si>
  <si>
    <t>4/17下</t>
  </si>
  <si>
    <t>12款各1PC+半圆贴纸/彩盒，48PCS/外箱</t>
  </si>
  <si>
    <t>2026/5/30
2026/6/3，交清</t>
  </si>
  <si>
    <t>4600077064</t>
  </si>
  <si>
    <t>5/4订</t>
  </si>
  <si>
    <t>5/14下</t>
  </si>
  <si>
    <t>TJ Maxx UK</t>
  </si>
  <si>
    <t>POHK-26-09052</t>
  </si>
  <si>
    <t>XSDD000572</t>
  </si>
  <si>
    <t>1606KTY01</t>
  </si>
  <si>
    <t>6/3下</t>
  </si>
  <si>
    <t>12款各1PC+客供半圆贴纸（贴1个）/彩盒+价格贴纸，48PCS/外箱</t>
  </si>
  <si>
    <t>50 768404</t>
  </si>
  <si>
    <t>POHK-26-09064</t>
  </si>
  <si>
    <t>XSDD000571</t>
  </si>
  <si>
    <t>50 768415</t>
  </si>
  <si>
    <t>POHK-26-09072</t>
  </si>
  <si>
    <t>XSDD000570</t>
  </si>
  <si>
    <t>50 768421</t>
  </si>
  <si>
    <t>POHK-26-09091</t>
  </si>
  <si>
    <t>XSDD000569</t>
  </si>
  <si>
    <t>55 768994</t>
  </si>
  <si>
    <t>POHK-26-09113</t>
  </si>
  <si>
    <t>XSDD000574</t>
  </si>
  <si>
    <t>55 769024</t>
  </si>
  <si>
    <t>POHK-26-09121</t>
  </si>
  <si>
    <t>XSDD000573</t>
  </si>
  <si>
    <t>55 769035</t>
  </si>
  <si>
    <r>
      <rPr>
        <sz val="9"/>
        <rFont val="宋体"/>
        <charset val="134"/>
      </rPr>
      <t xml:space="preserve">POHK-26-10891
</t>
    </r>
    <r>
      <rPr>
        <sz val="9"/>
        <color rgb="FFFF0000"/>
        <rFont val="宋体"/>
        <charset val="134"/>
      </rPr>
      <t>5/19取消订单</t>
    </r>
  </si>
  <si>
    <r>
      <rPr>
        <sz val="9"/>
        <rFont val="宋体"/>
        <charset val="134"/>
      </rPr>
      <t xml:space="preserve">5/16下
</t>
    </r>
    <r>
      <rPr>
        <sz val="9"/>
        <color rgb="FFFF0000"/>
        <rFont val="宋体"/>
        <charset val="134"/>
      </rPr>
      <t>5/20取消</t>
    </r>
  </si>
  <si>
    <t>12款各1PC+半圆贴纸（只贴米奇）/彩盒，48PCS/外箱</t>
  </si>
  <si>
    <t>00202-R0-POL</t>
  </si>
  <si>
    <t>POHK-26-12873</t>
  </si>
  <si>
    <t>XSDD000639</t>
  </si>
  <si>
    <t>40 015929</t>
  </si>
  <si>
    <t>POHK-26-12832</t>
  </si>
  <si>
    <t>XSDD000638</t>
  </si>
  <si>
    <t>40 015471</t>
  </si>
  <si>
    <t>POHK-26-12770</t>
  </si>
  <si>
    <t>XSDD000579</t>
  </si>
  <si>
    <t>45 080545</t>
  </si>
  <si>
    <r>
      <rPr>
        <sz val="9"/>
        <rFont val="宋体"/>
        <charset val="134"/>
      </rPr>
      <t xml:space="preserve">POHK-26-13031
</t>
    </r>
    <r>
      <rPr>
        <sz val="9"/>
        <color rgb="FFFF0000"/>
        <rFont val="宋体"/>
        <charset val="134"/>
      </rPr>
      <t>(7/22取消5280PCS)</t>
    </r>
  </si>
  <si>
    <t>MA26005</t>
  </si>
  <si>
    <r>
      <rPr>
        <sz val="9"/>
        <rFont val="宋体"/>
        <charset val="134"/>
      </rPr>
      <t xml:space="preserve">POHK-26-13033
</t>
    </r>
    <r>
      <rPr>
        <sz val="9"/>
        <color rgb="FFFF0000"/>
        <rFont val="宋体"/>
        <charset val="134"/>
      </rPr>
      <t>(7/22取消5280PCS)</t>
    </r>
  </si>
  <si>
    <t>1901606</t>
  </si>
  <si>
    <r>
      <rPr>
        <sz val="9"/>
        <rFont val="宋体"/>
        <charset val="134"/>
      </rPr>
      <t>POHK-26-14952 (</t>
    </r>
    <r>
      <rPr>
        <sz val="9"/>
        <color rgb="FFFF0000"/>
        <rFont val="宋体"/>
        <charset val="134"/>
      </rPr>
      <t>6/30取消订单6480PCS</t>
    </r>
    <r>
      <rPr>
        <sz val="9"/>
        <rFont val="宋体"/>
        <charset val="134"/>
      </rPr>
      <t>）</t>
    </r>
  </si>
  <si>
    <t>5J1YEJMB</t>
  </si>
  <si>
    <t>MA26006,取消后用于后期订单</t>
  </si>
  <si>
    <r>
      <rPr>
        <sz val="9"/>
        <rFont val="宋体"/>
        <charset val="134"/>
      </rPr>
      <t>POHK-26-14952 (</t>
    </r>
    <r>
      <rPr>
        <sz val="9"/>
        <color rgb="FFFF0000"/>
        <rFont val="宋体"/>
        <charset val="134"/>
      </rPr>
      <t>6/30取消订单8976PCS</t>
    </r>
    <r>
      <rPr>
        <sz val="9"/>
        <rFont val="宋体"/>
        <charset val="134"/>
      </rPr>
      <t>）</t>
    </r>
  </si>
  <si>
    <t>6OT8HVJV</t>
  </si>
  <si>
    <t>POHK-26-16536</t>
  </si>
  <si>
    <t>XSDD000839</t>
  </si>
  <si>
    <r>
      <rPr>
        <sz val="9"/>
        <rFont val="宋体"/>
        <charset val="134"/>
      </rPr>
      <t>12款各1PC+半圆贴纸(贴1个）/彩盒</t>
    </r>
    <r>
      <rPr>
        <sz val="9"/>
        <color rgb="FFFF0000"/>
        <rFont val="宋体"/>
        <charset val="134"/>
      </rPr>
      <t>+贴纸</t>
    </r>
    <r>
      <rPr>
        <sz val="9"/>
        <rFont val="宋体"/>
        <charset val="134"/>
      </rPr>
      <t>，48PCS/外箱+贴纸</t>
    </r>
  </si>
  <si>
    <t>14WCSH2N</t>
  </si>
  <si>
    <t>MA26007</t>
  </si>
  <si>
    <t>3SA2CASV</t>
  </si>
  <si>
    <t>1O8R3VTC</t>
  </si>
  <si>
    <t>3TZ5QC4B</t>
  </si>
  <si>
    <r>
      <rPr>
        <sz val="9"/>
        <rFont val="宋体"/>
        <charset val="134"/>
      </rPr>
      <t xml:space="preserve">POHK-26-16546取消748套改新PO：
</t>
    </r>
    <r>
      <rPr>
        <b/>
        <sz val="9"/>
        <color rgb="FFFF0000"/>
        <rFont val="宋体"/>
        <charset val="134"/>
      </rPr>
      <t>POHK-26-18403</t>
    </r>
  </si>
  <si>
    <t>XSDD000992</t>
  </si>
  <si>
    <r>
      <rPr>
        <sz val="9"/>
        <rFont val="宋体"/>
        <charset val="134"/>
      </rPr>
      <t>12款各1PC+半圆贴纸(贴1个）/彩盒，48PCS/外箱</t>
    </r>
    <r>
      <rPr>
        <sz val="9"/>
        <color rgb="FFFF0000"/>
        <rFont val="宋体"/>
        <charset val="134"/>
      </rPr>
      <t>（需打印贴纸修改PO#)</t>
    </r>
    <r>
      <rPr>
        <sz val="9"/>
        <rFont val="宋体"/>
        <charset val="134"/>
      </rPr>
      <t>+贴纸</t>
    </r>
  </si>
  <si>
    <t>6DU2C1XF</t>
  </si>
  <si>
    <t>MA26006</t>
  </si>
  <si>
    <t>8XZ7VZ2L</t>
  </si>
  <si>
    <r>
      <rPr>
        <sz val="9"/>
        <rFont val="宋体"/>
        <charset val="134"/>
      </rPr>
      <t xml:space="preserve">POHK-26-16546取消748套改新PO：
</t>
    </r>
    <r>
      <rPr>
        <b/>
        <sz val="9"/>
        <color rgb="FFFF0000"/>
        <rFont val="宋体"/>
        <charset val="134"/>
      </rPr>
      <t>POHK-26-18416</t>
    </r>
  </si>
  <si>
    <t>XSDD000993</t>
  </si>
  <si>
    <t>1G63ZI3A</t>
  </si>
  <si>
    <t>库存+7/27下</t>
  </si>
  <si>
    <t>01-064749/06-064749/07-064749/08-064749</t>
  </si>
  <si>
    <r>
      <rPr>
        <sz val="9"/>
        <rFont val="宋体"/>
        <charset val="134"/>
      </rPr>
      <t xml:space="preserve">POHK-26-16662
取消，转为：
</t>
    </r>
    <r>
      <rPr>
        <b/>
        <sz val="9"/>
        <color rgb="FFFF0000"/>
        <rFont val="宋体"/>
        <charset val="134"/>
      </rPr>
      <t>POHK-26-16908</t>
    </r>
  </si>
  <si>
    <t>XSDD000837</t>
  </si>
  <si>
    <t>01-565338/04-565338/06-565338/07-565338/08-565338</t>
  </si>
  <si>
    <r>
      <rPr>
        <sz val="9"/>
        <rFont val="宋体"/>
        <charset val="134"/>
      </rPr>
      <t xml:space="preserve">POHK-26-16870取消，转为：
</t>
    </r>
    <r>
      <rPr>
        <b/>
        <sz val="9"/>
        <color rgb="FFFF0000"/>
        <rFont val="宋体"/>
        <charset val="134"/>
      </rPr>
      <t>POHK-26-16914</t>
    </r>
  </si>
  <si>
    <t>XSDD000864</t>
  </si>
  <si>
    <t>10-565347/40-565347/70-565347/80-565347</t>
  </si>
  <si>
    <t xml:space="preserve">THE VERY UK </t>
  </si>
  <si>
    <t>POHK-26-16837</t>
  </si>
  <si>
    <t>XSDD000867</t>
  </si>
  <si>
    <t>9/2下</t>
  </si>
  <si>
    <r>
      <rPr>
        <sz val="9"/>
        <rFont val="宋体"/>
        <charset val="134"/>
      </rPr>
      <t>12款各1PC+半圆贴纸（贴1个）/彩盒/</t>
    </r>
    <r>
      <rPr>
        <sz val="9"/>
        <color rgb="FFFF0000"/>
        <rFont val="宋体"/>
        <charset val="134"/>
      </rPr>
      <t>胶袋（热封）</t>
    </r>
    <r>
      <rPr>
        <sz val="9"/>
        <rFont val="宋体"/>
        <charset val="134"/>
      </rPr>
      <t>+</t>
    </r>
    <r>
      <rPr>
        <sz val="9"/>
        <color rgb="FFFF0000"/>
        <rFont val="宋体"/>
        <charset val="134"/>
      </rPr>
      <t>客供</t>
    </r>
    <r>
      <rPr>
        <sz val="9"/>
        <rFont val="宋体"/>
        <charset val="134"/>
      </rPr>
      <t>贴纸，48PCS/外箱+</t>
    </r>
    <r>
      <rPr>
        <sz val="9"/>
        <color rgb="FFFF0000"/>
        <rFont val="宋体"/>
        <charset val="134"/>
      </rPr>
      <t>客供</t>
    </r>
    <r>
      <rPr>
        <sz val="9"/>
        <rFont val="宋体"/>
        <charset val="134"/>
      </rPr>
      <t>贴纸</t>
    </r>
  </si>
  <si>
    <t>9/1运输OK</t>
  </si>
  <si>
    <t>325150</t>
  </si>
  <si>
    <t>33454-000-1D-004-WBG</t>
  </si>
  <si>
    <t>4FZFXBUN -DC#KUK1 (TBA)</t>
  </si>
  <si>
    <t>7HDBMKVZ -DC#KUK2</t>
  </si>
  <si>
    <t>2026年 #33410 小鸭子系列 38款订单汇总表</t>
  </si>
  <si>
    <t>星火送本厂</t>
  </si>
  <si>
    <t>33423
桑尼</t>
  </si>
  <si>
    <t>33512
刀疤</t>
  </si>
  <si>
    <t>33513
黑白魔后</t>
  </si>
  <si>
    <t>33522
木乃伊</t>
  </si>
  <si>
    <t>33596
黑武士</t>
  </si>
  <si>
    <t>33615
戴帽猫</t>
  </si>
  <si>
    <t>33616
辛巴</t>
  </si>
  <si>
    <t>33617
彭彭</t>
  </si>
  <si>
    <t>33618
瓦力</t>
  </si>
  <si>
    <t>33619
伊娃</t>
  </si>
  <si>
    <t>33620
长发公主</t>
  </si>
  <si>
    <t>33621
帕斯卡</t>
  </si>
  <si>
    <t>33622
迈克</t>
  </si>
  <si>
    <t>33625
尼莫</t>
  </si>
  <si>
    <t>33626
多莉</t>
  </si>
  <si>
    <t>33627
伊耶</t>
  </si>
  <si>
    <t>33629
小鸡</t>
  </si>
  <si>
    <t>33631
美国队长</t>
  </si>
  <si>
    <t>33632
蜘蛛侠</t>
  </si>
  <si>
    <t>33633
玛丽猫</t>
  </si>
  <si>
    <t>33634
海绵宝宝</t>
  </si>
  <si>
    <t>33635
龙虾</t>
  </si>
  <si>
    <t>33636
杰克</t>
  </si>
  <si>
    <t>33637
泽里</t>
  </si>
  <si>
    <t>33638
叮当仙子</t>
  </si>
  <si>
    <t>33641
黑豹</t>
  </si>
  <si>
    <t>33646
秋巴卡</t>
  </si>
  <si>
    <t>33738
杰西</t>
  </si>
  <si>
    <t>33736
布鲁伊</t>
  </si>
  <si>
    <t>33739
宾果</t>
  </si>
  <si>
    <t>33733
艾摩</t>
  </si>
  <si>
    <t>33734
甜饼怪</t>
  </si>
  <si>
    <t>WMCA</t>
  </si>
  <si>
    <t>WMCA SP26 YBM Sample</t>
  </si>
  <si>
    <t>2935KTY01</t>
  </si>
  <si>
    <t>10/11四川</t>
  </si>
  <si>
    <t>12891
库存</t>
  </si>
  <si>
    <t>1PC/吊牌+客供吊牌，400PCS/展示架</t>
  </si>
  <si>
    <t>POHK-25-18009</t>
  </si>
  <si>
    <t>8150970733</t>
  </si>
  <si>
    <t>33410-000-1A-400-HSD</t>
  </si>
  <si>
    <t>POHK-26-09563</t>
  </si>
  <si>
    <t>4/2下</t>
  </si>
  <si>
    <t>2026/5/30出142
2026/6/5出704</t>
  </si>
  <si>
    <t>7000995910</t>
  </si>
  <si>
    <t>POHK-26-14617</t>
  </si>
  <si>
    <t>XSDD000656</t>
  </si>
  <si>
    <t>1826KTY01</t>
  </si>
  <si>
    <t>5/21订</t>
  </si>
  <si>
    <t>6/10订</t>
  </si>
  <si>
    <t>1PC/吊牌+客供吊牌，400PCS/展示架（无头卡）</t>
  </si>
  <si>
    <t>inline 6/17</t>
  </si>
  <si>
    <t>7000998832</t>
  </si>
  <si>
    <t>33410-000-2A-400-HSD</t>
  </si>
  <si>
    <t>Wish Chile</t>
  </si>
  <si>
    <t>Cynthia</t>
  </si>
  <si>
    <t>POHK-26-08561</t>
  </si>
  <si>
    <t>XSDD000752</t>
  </si>
  <si>
    <t>1PC/吊牌+客供吊牌，400PCS/展示架+贴纸（有头卡）</t>
  </si>
  <si>
    <t>WTC-2623</t>
  </si>
  <si>
    <t>POHK-26-15244</t>
  </si>
  <si>
    <t>XSDD000659</t>
  </si>
  <si>
    <t>inline 7/21</t>
  </si>
  <si>
    <t>8/20 16卡8/26 1584卡，交清</t>
  </si>
  <si>
    <t>2551020325</t>
  </si>
  <si>
    <t>33410-WCA-3A-400-HSD</t>
  </si>
  <si>
    <t>POHK-26-15245</t>
  </si>
  <si>
    <t>XSDD000660</t>
  </si>
  <si>
    <t>2326KTY01</t>
  </si>
  <si>
    <t>9/8&amp;9/11</t>
  </si>
  <si>
    <t>2551020326</t>
  </si>
  <si>
    <t>Continente/ Colombia</t>
  </si>
  <si>
    <t>POHK-26-15925</t>
  </si>
  <si>
    <t>XSDD000935</t>
  </si>
  <si>
    <t>2466KTY01</t>
  </si>
  <si>
    <t>6/5订</t>
  </si>
  <si>
    <t>8/11订</t>
  </si>
  <si>
    <t>1PC/吊牌+客供吊牌，400PCS/展示架（有头卡）</t>
  </si>
  <si>
    <t>1PC/吊牌+客供吊牌，1PC展示架（已寄未配头卡）</t>
  </si>
  <si>
    <t>2026年 #33430 搪胶小鸭子订单汇总表</t>
  </si>
  <si>
    <t>头卡</t>
  </si>
  <si>
    <t>W1-A</t>
  </si>
  <si>
    <t>W1-B</t>
  </si>
  <si>
    <t>W2-A</t>
  </si>
  <si>
    <t>W2-B</t>
  </si>
  <si>
    <t>#33419 唐老鸭</t>
  </si>
  <si>
    <t>#33420 维尼熊</t>
  </si>
  <si>
    <t>#33416 史迪仔</t>
  </si>
  <si>
    <t>#33423 桑妮</t>
  </si>
  <si>
    <t>#33425 贝尔</t>
  </si>
  <si>
    <t>Ross</t>
  </si>
  <si>
    <t>7/17增加数量</t>
  </si>
  <si>
    <t>3PCS/头卡/胶袋，W2A+B各12袋/箱</t>
  </si>
  <si>
    <t>33430-000-2B-024-HC1</t>
  </si>
  <si>
    <r>
      <rPr>
        <b/>
        <sz val="18"/>
        <rFont val="宋体"/>
        <charset val="134"/>
      </rPr>
      <t>2026年 #33487  搪胶小鸭子系列</t>
    </r>
    <r>
      <rPr>
        <b/>
        <sz val="18"/>
        <color rgb="FFFF0000"/>
        <rFont val="宋体"/>
        <charset val="134"/>
      </rPr>
      <t>24款</t>
    </r>
    <r>
      <rPr>
        <b/>
        <sz val="18"/>
        <rFont val="宋体"/>
        <charset val="134"/>
      </rPr>
      <t>订单汇总表</t>
    </r>
  </si>
  <si>
    <t>彩盒&amp;PDQ</t>
  </si>
  <si>
    <t>33428
爱丽</t>
  </si>
  <si>
    <t>33426
贝尔</t>
  </si>
  <si>
    <t>33418
米妮</t>
  </si>
  <si>
    <t>33476
天使</t>
  </si>
  <si>
    <t>33479
外星人</t>
  </si>
  <si>
    <t>33425
艾莎</t>
  </si>
  <si>
    <t>33424
雪人</t>
  </si>
  <si>
    <t>33423
桑妮</t>
  </si>
  <si>
    <t>PRG - Italy</t>
  </si>
  <si>
    <t>Toby</t>
  </si>
  <si>
    <t>POHK-26-05172</t>
  </si>
  <si>
    <t>XSDD000308</t>
  </si>
  <si>
    <t>LOT2621</t>
  </si>
  <si>
    <t>24PC+贴纸(只贴一个）/彩盒+进口商贴纸，4彩盒/外箱</t>
  </si>
  <si>
    <t>2026/6/2运输
2026/6/5</t>
  </si>
  <si>
    <t>2003197412</t>
  </si>
  <si>
    <t>33487-000-1B-004-WB0</t>
  </si>
  <si>
    <t>33487MA26001</t>
  </si>
  <si>
    <t>POHK-26-05175</t>
  </si>
  <si>
    <t>XSDD000307</t>
  </si>
  <si>
    <t>2000009957</t>
  </si>
  <si>
    <t>PRG France</t>
  </si>
  <si>
    <t>Phoebe</t>
  </si>
  <si>
    <t>POHK-26-08074</t>
  </si>
  <si>
    <t>XSDD000409</t>
  </si>
  <si>
    <t>33487MA26002</t>
  </si>
  <si>
    <t>POHK-26-08084</t>
  </si>
  <si>
    <t>XSDD000411</t>
  </si>
  <si>
    <t>1598562</t>
  </si>
  <si>
    <t>POHK-26-08078</t>
  </si>
  <si>
    <t>XSDD000412</t>
  </si>
  <si>
    <t>2026年 #33776  BJ's 搪胶小鸭子系列24款订单汇总表</t>
  </si>
  <si>
    <t>系统单号</t>
  </si>
  <si>
    <t>33623
女士</t>
  </si>
  <si>
    <t>33624
流浪汉</t>
  </si>
  <si>
    <t xml:space="preserve"> BJ’s</t>
  </si>
  <si>
    <t>Monica</t>
  </si>
  <si>
    <t>POHK-26-05997</t>
  </si>
  <si>
    <t>XSDD000437</t>
  </si>
  <si>
    <t>24PC/彩盒，96PC/PDQ/箱</t>
  </si>
  <si>
    <t>2026/6/3运输
2026/6/9</t>
  </si>
  <si>
    <t>117407440</t>
  </si>
  <si>
    <t>33776-BJS-1A-004-WBQ</t>
  </si>
  <si>
    <t>POHK-26-06013</t>
  </si>
  <si>
    <t>XSDD000441</t>
  </si>
  <si>
    <t>117407441</t>
  </si>
  <si>
    <t>POHK-26-06018</t>
  </si>
  <si>
    <t>XSDD000440</t>
  </si>
  <si>
    <t>117407450</t>
  </si>
  <si>
    <t>POHK-26-06031</t>
  </si>
  <si>
    <t>XSDD000439</t>
  </si>
  <si>
    <t>6/9订</t>
  </si>
  <si>
    <t>6/2下</t>
  </si>
  <si>
    <t>117407456</t>
  </si>
  <si>
    <t>POHK-26-06033</t>
  </si>
  <si>
    <t>XSDD000438</t>
  </si>
  <si>
    <t>117407459</t>
  </si>
  <si>
    <t>2026年 #33490  搪胶小鸭子系列15款订单汇总表</t>
  </si>
  <si>
    <t>W4</t>
  </si>
  <si>
    <t>彩盒PDQ/
吊牌</t>
  </si>
  <si>
    <t>#33482
铁钩船长</t>
  </si>
  <si>
    <t>#33484
黑魔后</t>
  </si>
  <si>
    <t>#33497
霸王龙</t>
  </si>
  <si>
    <t>#33498
蓝鲸</t>
  </si>
  <si>
    <t>#33493
史力加</t>
  </si>
  <si>
    <t>#33494
灰驴</t>
  </si>
  <si>
    <t>#33523
八爪鱼</t>
  </si>
  <si>
    <t>#33505
酷比狗</t>
  </si>
  <si>
    <t>#33506
沙吉</t>
  </si>
  <si>
    <t>#33491
宾尼兔</t>
  </si>
  <si>
    <t>#33492
翠迪鸟</t>
  </si>
  <si>
    <t>#33508
变形金钢</t>
  </si>
  <si>
    <t>#33507
大黄蜂</t>
  </si>
  <si>
    <t>33597
天行者</t>
  </si>
  <si>
    <t>33517
飞哥</t>
  </si>
  <si>
    <t>33518
小佛</t>
  </si>
  <si>
    <t>#33636
杰克</t>
  </si>
  <si>
    <t>#33637
泽里</t>
  </si>
  <si>
    <t>33642
钢铁侠</t>
  </si>
  <si>
    <t>搪胶</t>
  </si>
  <si>
    <t xml:space="preserve">JP Domestic (Australia) </t>
  </si>
  <si>
    <r>
      <rPr>
        <sz val="9"/>
        <color rgb="FFFF0000"/>
        <rFont val="宋体"/>
        <charset val="134"/>
      </rPr>
      <t xml:space="preserve">POHK-25-16401
</t>
    </r>
    <r>
      <rPr>
        <sz val="8"/>
        <color theme="1"/>
        <rFont val="宋体"/>
        <charset val="134"/>
      </rPr>
      <t>（POHK-25-13158）</t>
    </r>
  </si>
  <si>
    <t>1505KTY01</t>
  </si>
  <si>
    <t>1PC/吊牌，18PCS/PDQ/箱</t>
  </si>
  <si>
    <t>0103-R0-JPAU</t>
  </si>
  <si>
    <t>33490-000-2A-018-HTD</t>
  </si>
  <si>
    <t>Five Below</t>
  </si>
  <si>
    <t>POHK-25-17226</t>
  </si>
  <si>
    <t>用33440W4库存</t>
  </si>
  <si>
    <t>11/7下四川</t>
  </si>
  <si>
    <t>1PC/吊牌，36PCS/胶袋/箱+贴纸（无备品，请注意保护）</t>
  </si>
  <si>
    <t>5953524</t>
  </si>
  <si>
    <t>33665-5BW-1A-036-HT0</t>
  </si>
  <si>
    <t>POHK-25-20272</t>
  </si>
  <si>
    <t>12/2四川</t>
  </si>
  <si>
    <t>11/14订</t>
  </si>
  <si>
    <t>1PC/吊牌，36PCS/胶袋/箱+贴纸（1/8寄）（无备品，请注意保护）</t>
  </si>
  <si>
    <t>3/9出79344
3/16出20664，交清</t>
  </si>
  <si>
    <t>5925679</t>
  </si>
  <si>
    <t>33665-5BW-1B-036-HT0</t>
  </si>
  <si>
    <t>JP NZ (DOM)</t>
  </si>
  <si>
    <t>POHK-25-20694</t>
  </si>
  <si>
    <t>12/1订</t>
  </si>
  <si>
    <t>0038 NZ</t>
  </si>
  <si>
    <t>33490-000-3A-018-HTD</t>
  </si>
  <si>
    <t>33490-000-4A-018-HTD</t>
  </si>
  <si>
    <t>JPLLC (Golden link)</t>
  </si>
  <si>
    <t>Joyce Ng</t>
  </si>
  <si>
    <t>POHK-25-19454</t>
  </si>
  <si>
    <t>12/17四川</t>
  </si>
  <si>
    <t>2026/1/14
PDQ签样AOD</t>
  </si>
  <si>
    <t>6767-R0-GLDNLIN</t>
  </si>
  <si>
    <t>33667-000-1A-018-HTD</t>
  </si>
  <si>
    <t xml:space="preserve">Frances </t>
  </si>
  <si>
    <t>POHK-25-20819</t>
  </si>
  <si>
    <t>贴贴纸不印日期码</t>
  </si>
  <si>
    <t>1PC/吊牌+UK圆形贴纸（12/10已订），18PCS/PDQ/箱</t>
  </si>
  <si>
    <t>00136-R0-POL</t>
  </si>
  <si>
    <t>33490-EU0-3E-018-HTD</t>
  </si>
  <si>
    <t>Disney USA</t>
  </si>
  <si>
    <t>POHK-25-19908</t>
  </si>
  <si>
    <t>FAC-116985-25310</t>
  </si>
  <si>
    <t>12/2订</t>
  </si>
  <si>
    <t>1PC/吊牌+空白+条形码贴纸，18PCS/PDQ/箱+贴纸</t>
  </si>
  <si>
    <t>CD109</t>
  </si>
  <si>
    <t>POHK-25-19909</t>
  </si>
  <si>
    <t>CD114</t>
  </si>
  <si>
    <t>JPEU - Italy</t>
  </si>
  <si>
    <t>POHK-25-16148</t>
  </si>
  <si>
    <t>9/15四川</t>
  </si>
  <si>
    <t>1PC/吊牌+UK圆形贴纸（10/20订），18PCS/PDQ/外箱</t>
  </si>
  <si>
    <t>00108-R0-SPA</t>
  </si>
  <si>
    <t>33490-EU0-4B-018-HTD</t>
  </si>
  <si>
    <t>Hot Topic
（HTSS CA）</t>
  </si>
  <si>
    <t>POHK-25-21187</t>
  </si>
  <si>
    <t>12/19订</t>
  </si>
  <si>
    <t>1/19下四川</t>
  </si>
  <si>
    <r>
      <rPr>
        <sz val="9"/>
        <rFont val="宋体"/>
        <charset val="134"/>
      </rPr>
      <t>1PC/吊牌+空白+价格，18PCS/PDQ，</t>
    </r>
    <r>
      <rPr>
        <sz val="9"/>
        <color rgb="FFFF0000"/>
        <rFont val="宋体"/>
        <charset val="134"/>
      </rPr>
      <t>2PDQ=36PCS</t>
    </r>
    <r>
      <rPr>
        <sz val="9"/>
        <rFont val="宋体"/>
        <charset val="134"/>
      </rPr>
      <t>/箱+贴纸（1/8寄）</t>
    </r>
  </si>
  <si>
    <t>6994526</t>
  </si>
  <si>
    <t>33490-000-4L-036-HTD</t>
  </si>
  <si>
    <t>Hot Topic
(HTSS TN)</t>
  </si>
  <si>
    <t>POHK-25-21188</t>
  </si>
  <si>
    <t>6994527</t>
  </si>
  <si>
    <t>Hot Topic
(HTCA TN)</t>
  </si>
  <si>
    <t>POHK-25-21189</t>
  </si>
  <si>
    <r>
      <rPr>
        <sz val="9"/>
        <rFont val="宋体"/>
        <charset val="134"/>
      </rPr>
      <t>1PC/吊牌+空白+CAD价格，18PCS/PDQ，</t>
    </r>
    <r>
      <rPr>
        <sz val="9"/>
        <color rgb="FFFF0000"/>
        <rFont val="宋体"/>
        <charset val="134"/>
      </rPr>
      <t>2PDQ=36PCS</t>
    </r>
    <r>
      <rPr>
        <sz val="9"/>
        <rFont val="宋体"/>
        <charset val="134"/>
      </rPr>
      <t>/箱+贴纸（1/8寄）</t>
    </r>
  </si>
  <si>
    <t>6994525</t>
  </si>
  <si>
    <t>Hot Topic
（HTIN CA）</t>
  </si>
  <si>
    <t>POHK-25-21190</t>
  </si>
  <si>
    <r>
      <rPr>
        <sz val="9"/>
        <rFont val="宋体"/>
        <charset val="134"/>
      </rPr>
      <t>1PC/吊牌+空白+价格/胶袋+贴纸，</t>
    </r>
    <r>
      <rPr>
        <sz val="9"/>
        <color rgb="FFFF0000"/>
        <rFont val="宋体"/>
        <charset val="134"/>
      </rPr>
      <t>48PCS</t>
    </r>
    <r>
      <rPr>
        <sz val="9"/>
        <rFont val="宋体"/>
        <charset val="134"/>
      </rPr>
      <t>/箱+贴纸（1/8寄）</t>
    </r>
  </si>
  <si>
    <t>6994528</t>
  </si>
  <si>
    <t>33490-000-4N-048-HPG</t>
  </si>
  <si>
    <t>POHK-25-21192</t>
  </si>
  <si>
    <t>6994524</t>
  </si>
  <si>
    <t>POHK-25-21030</t>
  </si>
  <si>
    <t>XSDD000064</t>
  </si>
  <si>
    <t>12/26下四川</t>
  </si>
  <si>
    <t>1PC/吊牌+UK圆形贴纸(1/7已订)，18PCS/PDQ/箱</t>
  </si>
  <si>
    <t>00159-R0-GSA</t>
  </si>
  <si>
    <t>POHK-25-14647</t>
  </si>
  <si>
    <t>XSDD000043</t>
  </si>
  <si>
    <t>9/6订</t>
  </si>
  <si>
    <t>1PC/吊牌+1张白色+客UPC贴纸，单款单独包装，18PCS/PDQ/外箱</t>
  </si>
  <si>
    <t>W-9217449</t>
  </si>
  <si>
    <t>33484-000-1A-018-HTD/
33523-000-1A-018-HTD</t>
  </si>
  <si>
    <t>POHK-25-20274</t>
  </si>
  <si>
    <t>XSDD000070</t>
  </si>
  <si>
    <t>5930894</t>
  </si>
  <si>
    <t>33490-000-4D-036-HT0</t>
  </si>
  <si>
    <t>CPATOY GROUP</t>
  </si>
  <si>
    <t xml:space="preserve">Althea </t>
  </si>
  <si>
    <t>POHK-25-21539</t>
  </si>
  <si>
    <t>XSDD000013</t>
  </si>
  <si>
    <t>0296KTY01</t>
  </si>
  <si>
    <t>1/28下四川</t>
  </si>
  <si>
    <t>1/29订</t>
  </si>
  <si>
    <t>2/3下四川</t>
  </si>
  <si>
    <t>1PC/吊牌+圆形贴纸(3/5寄)，18PCS/PDQ/箱</t>
  </si>
  <si>
    <t>Chile PECOS SPA</t>
  </si>
  <si>
    <t>POHK-25-21755</t>
  </si>
  <si>
    <t>XSDD000014</t>
  </si>
  <si>
    <t>1PC/吊牌，18PCS/PDQ/外箱</t>
  </si>
  <si>
    <t>Wonderland ( US )</t>
  </si>
  <si>
    <t>POHK-25-22246取消转入POHK-26-01104</t>
  </si>
  <si>
    <t>XSDD000063</t>
  </si>
  <si>
    <t xml:space="preserve">4976 </t>
  </si>
  <si>
    <t>Cracker Barrel</t>
  </si>
  <si>
    <t>POHK-25-21741</t>
  </si>
  <si>
    <t>XSDD000026</t>
  </si>
  <si>
    <t>3/11下</t>
  </si>
  <si>
    <t>1PC/吊牌+客供条形码吊牌，6PCS/胶袋，48PCS/箱+贴纸，单款包装</t>
  </si>
  <si>
    <t>3/12运输测试2026/4/9</t>
  </si>
  <si>
    <t>25%抽样3/24/2026</t>
  </si>
  <si>
    <t>279167</t>
  </si>
  <si>
    <t>33596-000-1A-048-HT0
33729-000-1A-048-HT0</t>
  </si>
  <si>
    <t>Cracker Barrel抽板</t>
  </si>
  <si>
    <t>POHK-25-21194</t>
  </si>
  <si>
    <t>XSDD000089</t>
  </si>
  <si>
    <t>1PC/吊牌+客供葡萄牙吊牌，18PCS/PDQ/箱（专用蓝色胶带）</t>
  </si>
  <si>
    <t>SUHT-1479</t>
  </si>
  <si>
    <t xml:space="preserve"> Red Planet (Canada)</t>
  </si>
  <si>
    <t>3/13下</t>
  </si>
  <si>
    <t>3/13订</t>
  </si>
  <si>
    <t>1PC/吊牌+进口商吊牌，18PC/PDQ/箱</t>
  </si>
  <si>
    <t>POHK-26-10853</t>
  </si>
  <si>
    <t>XSDD000514</t>
  </si>
  <si>
    <t>1386KTY01</t>
  </si>
  <si>
    <t>4/7下</t>
  </si>
  <si>
    <t>1PC/吊牌+1张白色+客UPC贴纸，单款单独包装，36PCS/外箱+贴纸</t>
  </si>
  <si>
    <t>2026/5/27运输
2026/5/27</t>
  </si>
  <si>
    <t>W-9684414</t>
  </si>
  <si>
    <t>33596-000-1C-036-HT0
33643-000-1B-036-HT0</t>
  </si>
  <si>
    <t>POHK-26-10852</t>
  </si>
  <si>
    <t>XSDD000513</t>
  </si>
  <si>
    <t>W-9684318</t>
  </si>
  <si>
    <t>POHK-26-02815</t>
  </si>
  <si>
    <t>XSDD000140</t>
  </si>
  <si>
    <t>FAC-116985-26140</t>
  </si>
  <si>
    <t>4/21下</t>
  </si>
  <si>
    <t>1PC/吊牌+1张白色+客UPC贴纸，单款单独包装，18PCS/PDQ/外箱+贴纸</t>
  </si>
  <si>
    <t>L-9666976</t>
  </si>
  <si>
    <t>33484-000-1A-018-HTD</t>
  </si>
  <si>
    <t>POHK-26-06974</t>
  </si>
  <si>
    <t>XSDD000479</t>
  </si>
  <si>
    <t>1486KTY01</t>
  </si>
  <si>
    <t>5/5下
删UPC</t>
  </si>
  <si>
    <t>1PC/吊牌+客UPC贴纸，单款单独包装，36PCS/外箱+贴纸</t>
  </si>
  <si>
    <t>2026/6/3运输
2026/6/12</t>
  </si>
  <si>
    <t>W-9684410</t>
  </si>
  <si>
    <t>33518-000-1A-036-HT0
33517-000-1A-036-HT0</t>
  </si>
  <si>
    <t>POHK-26-10854</t>
  </si>
  <si>
    <t>XSDD000515</t>
  </si>
  <si>
    <t>2026/6/4运输
2026/6/12</t>
  </si>
  <si>
    <t xml:space="preserve"> W-9684320</t>
  </si>
  <si>
    <t>33631-000-1B-036-HT0
33642-000-1B-036-HT0
33632-000-1B-036-HT0</t>
  </si>
  <si>
    <t>JP Mexico</t>
  </si>
  <si>
    <t>POHK-26-08489</t>
  </si>
  <si>
    <t>XSDD000487</t>
  </si>
  <si>
    <t>1PC/吊牌+客供吊牌，18PC/PDQ/外箱</t>
  </si>
  <si>
    <t>00019-RO-MXN</t>
  </si>
  <si>
    <t>33490-000-1A-018-HTD</t>
  </si>
  <si>
    <t>POHK-26-08490</t>
  </si>
  <si>
    <t>XSDD000486</t>
  </si>
  <si>
    <t>00020-RO-MXN</t>
  </si>
  <si>
    <t>Boing/ Panama</t>
  </si>
  <si>
    <t>POHK-26-07322</t>
  </si>
  <si>
    <t>XSDD000563</t>
  </si>
  <si>
    <t>5/20下</t>
  </si>
  <si>
    <t>COL-19-26-FALL</t>
  </si>
  <si>
    <t>POHK-26-12309</t>
  </si>
  <si>
    <t>XSDD000541</t>
  </si>
  <si>
    <t>5/30下
删UPC</t>
  </si>
  <si>
    <t>1PC/吊牌+客UPC贴纸，单款单独包装，36PCS+蛋格/外箱+贴纸</t>
  </si>
  <si>
    <t xml:space="preserve"> L-9684418</t>
  </si>
  <si>
    <t>POHK-26-12310</t>
  </si>
  <si>
    <t>XSDD000540</t>
  </si>
  <si>
    <t>W-9684319</t>
  </si>
  <si>
    <t>POHK-26-03047</t>
  </si>
  <si>
    <t>XSDD000142</t>
  </si>
  <si>
    <t>FAC-116985-26196</t>
  </si>
  <si>
    <t>1PC/吊牌+客UPC贴纸，单款单独包装，18PCS/PDQ/外箱+贴纸</t>
  </si>
  <si>
    <t>已延期</t>
  </si>
  <si>
    <t>L-9666977</t>
  </si>
  <si>
    <t>POHK-26-06978</t>
  </si>
  <si>
    <t>XSDD000480</t>
  </si>
  <si>
    <t>2116KTY01</t>
  </si>
  <si>
    <t>删UPC
7/1下</t>
  </si>
  <si>
    <t>W-9684411</t>
  </si>
  <si>
    <t>POHK-26-12312</t>
  </si>
  <si>
    <t>XSDD000538</t>
  </si>
  <si>
    <t>W-9684321</t>
  </si>
  <si>
    <t>POHK-26-12311</t>
  </si>
  <si>
    <t>XSDD000539</t>
  </si>
  <si>
    <t>删UPC
7/22下</t>
  </si>
  <si>
    <t>8/12订</t>
  </si>
  <si>
    <t>7/30下</t>
  </si>
  <si>
    <t>L-9684419</t>
  </si>
  <si>
    <t>Hot Topic  （HTSS CA)</t>
  </si>
  <si>
    <t>POHK-26-10013</t>
  </si>
  <si>
    <t>XSDD000801</t>
  </si>
  <si>
    <t>7/24下</t>
  </si>
  <si>
    <t>1PC/吊牌+空白+价格，18PCS/PDQ，2PDQ=36PCS/箱+贴纸</t>
  </si>
  <si>
    <t>7124276</t>
  </si>
  <si>
    <t>1PC/吊牌+空白+价格，18PCS/PDQ</t>
  </si>
  <si>
    <t>Hot Topic  (HTSS TH)</t>
  </si>
  <si>
    <t>POHK-26-10015</t>
  </si>
  <si>
    <t>XSDD000802</t>
  </si>
  <si>
    <t>7128981</t>
  </si>
  <si>
    <t>Hot Topic  （HTIN CA)</t>
  </si>
  <si>
    <t>POHK-26-10018</t>
  </si>
  <si>
    <t>XSDD000800</t>
  </si>
  <si>
    <t>1PC/吊牌+空白+价格/胶袋+贴纸，48PCS/箱+贴纸</t>
  </si>
  <si>
    <t>7128986</t>
  </si>
  <si>
    <t>Hot Topic  （HTIN TN)</t>
  </si>
  <si>
    <t>POHK-26-10021</t>
  </si>
  <si>
    <t>XSDD000796</t>
  </si>
  <si>
    <t>7128985</t>
  </si>
  <si>
    <t>POHK-26-12313</t>
  </si>
  <si>
    <t>XSDD000537</t>
  </si>
  <si>
    <t>W-9684417</t>
  </si>
  <si>
    <t>DDD9/22</t>
  </si>
  <si>
    <t>小鸭子已签办</t>
  </si>
  <si>
    <t>2026年 #33475  搪胶小鸭子系列17款订单汇总表</t>
  </si>
  <si>
    <t>搪胶订单</t>
  </si>
  <si>
    <t>W1</t>
  </si>
  <si>
    <t>W2</t>
  </si>
  <si>
    <t>W3</t>
  </si>
  <si>
    <t>#33538
普亚猪</t>
  </si>
  <si>
    <t>#33480
草莓熊</t>
  </si>
  <si>
    <t>#33479
外星人</t>
  </si>
  <si>
    <r>
      <rPr>
        <sz val="9"/>
        <rFont val="宋体"/>
        <charset val="134"/>
      </rPr>
      <t xml:space="preserve">#33477
</t>
    </r>
    <r>
      <rPr>
        <sz val="8"/>
        <rFont val="宋体"/>
        <charset val="134"/>
      </rPr>
      <t>外星史迪仔</t>
    </r>
  </si>
  <si>
    <t>#33419唐老鸭</t>
  </si>
  <si>
    <r>
      <rPr>
        <sz val="9"/>
        <rFont val="宋体"/>
        <charset val="134"/>
      </rPr>
      <t xml:space="preserve">#33519
</t>
    </r>
    <r>
      <rPr>
        <sz val="8"/>
        <rFont val="宋体"/>
        <charset val="134"/>
      </rPr>
      <t>粉裙米妮</t>
    </r>
  </si>
  <si>
    <t>#33483
乐乐</t>
  </si>
  <si>
    <t>#33516
阿焦</t>
  </si>
  <si>
    <t>#33616
辛巴</t>
  </si>
  <si>
    <t>#33617
彭彭</t>
  </si>
  <si>
    <r>
      <rPr>
        <sz val="9"/>
        <rFont val="宋体"/>
        <charset val="134"/>
      </rPr>
      <t xml:space="preserve">#33620
</t>
    </r>
    <r>
      <rPr>
        <sz val="8"/>
        <rFont val="宋体"/>
        <charset val="134"/>
      </rPr>
      <t>长发公主</t>
    </r>
  </si>
  <si>
    <t>#33621
帕斯卡</t>
  </si>
  <si>
    <t>#33615
戴帽猫</t>
  </si>
  <si>
    <t>#33623
女士</t>
  </si>
  <si>
    <t>#33624
流浪汉</t>
  </si>
  <si>
    <t>#33625
尼莫</t>
  </si>
  <si>
    <t>#33626
多莉</t>
  </si>
  <si>
    <t>#26851
超人</t>
  </si>
  <si>
    <t>#26853
蝙蝠侠</t>
  </si>
  <si>
    <t>PT Emway Indonesia</t>
  </si>
  <si>
    <t>POHK-25-17959</t>
  </si>
  <si>
    <t>25000352</t>
  </si>
  <si>
    <t>33755-000-1A-018-HTD</t>
  </si>
  <si>
    <t>POHK-25-20269</t>
  </si>
  <si>
    <t>1PC/吊牌，36PC/胶袋/箱+贴纸</t>
  </si>
  <si>
    <t>5930893</t>
  </si>
  <si>
    <t>33685-5BW-1A-036-HT0</t>
  </si>
  <si>
    <t>POHK-25-14173取消3600套转入
POHK-25-20694</t>
  </si>
  <si>
    <t>2735KTY01</t>
  </si>
  <si>
    <t>9/9
四川</t>
  </si>
  <si>
    <t>10/29下四川</t>
  </si>
  <si>
    <t>33475-000-3A-018-HTD</t>
  </si>
  <si>
    <t>用14173取消的纸箱</t>
  </si>
  <si>
    <t>33475-000-4A-018-HTD</t>
  </si>
  <si>
    <t>1PC/吊牌+UK圆形贴纸（12/10已订），18PCS/PDQ/外箱</t>
  </si>
  <si>
    <t>33475-EU0-1J-018-HTD</t>
  </si>
  <si>
    <t>WHITEHOUSE LEISURE</t>
  </si>
  <si>
    <t>POHK-25-20472</t>
  </si>
  <si>
    <t>12/8下四川</t>
  </si>
  <si>
    <t>1PC/吊牌+CE白色吊牌（客供），24PCS混装/胶袋，8袋=192PCS/外箱</t>
  </si>
  <si>
    <t>PORD118908</t>
  </si>
  <si>
    <t>33475-EU0-2L-192-HT0</t>
  </si>
  <si>
    <t>Hobby Lobby Stores</t>
  </si>
  <si>
    <t>POHK-25-21093</t>
  </si>
  <si>
    <t>1PC/吊牌+价格贴纸已到，36PC/胶袋/箱</t>
  </si>
  <si>
    <t>W0748709</t>
  </si>
  <si>
    <t>33475-000-3K-036-HT0</t>
  </si>
  <si>
    <t>Hot Topic
(HTSS CA)</t>
  </si>
  <si>
    <t>POHK-25-21032</t>
  </si>
  <si>
    <r>
      <rPr>
        <sz val="9"/>
        <rFont val="宋体"/>
        <charset val="134"/>
      </rPr>
      <t>1PC/吊牌+空白+价格，18PCS/PDQ，</t>
    </r>
    <r>
      <rPr>
        <sz val="9"/>
        <color rgb="FFFF0000"/>
        <rFont val="宋体"/>
        <charset val="134"/>
      </rPr>
      <t>2PDQ=36PCS/箱</t>
    </r>
    <r>
      <rPr>
        <sz val="9"/>
        <rFont val="宋体"/>
        <charset val="134"/>
      </rPr>
      <t>+贴纸（1/8寄）</t>
    </r>
  </si>
  <si>
    <t>6977712</t>
  </si>
  <si>
    <t>33475-000-4J-036-HTD</t>
  </si>
  <si>
    <t>POHK-25-21033</t>
  </si>
  <si>
    <t>6977710</t>
  </si>
  <si>
    <t>POHK-25-21034</t>
  </si>
  <si>
    <r>
      <rPr>
        <sz val="9"/>
        <rFont val="宋体"/>
        <charset val="134"/>
      </rPr>
      <t>1PC/吊牌+空白+CAD价格，18PCS/PDQ，</t>
    </r>
    <r>
      <rPr>
        <sz val="9"/>
        <color rgb="FFFF0000"/>
        <rFont val="宋体"/>
        <charset val="134"/>
      </rPr>
      <t>2PDQ=36PCS/箱</t>
    </r>
    <r>
      <rPr>
        <sz val="9"/>
        <rFont val="宋体"/>
        <charset val="134"/>
      </rPr>
      <t>+贴纸（1/8寄）</t>
    </r>
  </si>
  <si>
    <t>6977708</t>
  </si>
  <si>
    <t>Hot Topic
(HTIN CA)</t>
  </si>
  <si>
    <t>POHK-25-21035</t>
  </si>
  <si>
    <t>6977727</t>
  </si>
  <si>
    <t>33475-000-4L-048-HPG</t>
  </si>
  <si>
    <t>Hot Topic
(HTIN TN)</t>
  </si>
  <si>
    <t>POHK-25-21036</t>
  </si>
  <si>
    <t>6977726</t>
  </si>
  <si>
    <t>1PC/吊牌+UK圆形贴纸（1/7已订），18PCS/PDQ/外箱</t>
  </si>
  <si>
    <t>VEGA-IMPEX KFT</t>
  </si>
  <si>
    <t>POHK-25-21756</t>
  </si>
  <si>
    <t>XSDD000068</t>
  </si>
  <si>
    <t>1PC/吊牌+客供信息吊牌，18PCS/PDQ/外箱</t>
  </si>
  <si>
    <t>POHK-25-14650</t>
  </si>
  <si>
    <t>XSDD000041</t>
  </si>
  <si>
    <r>
      <rPr>
        <sz val="9"/>
        <rFont val="宋体"/>
        <charset val="134"/>
      </rPr>
      <t>1PC/吊牌+1张白色+客UPC贴纸，</t>
    </r>
    <r>
      <rPr>
        <sz val="9"/>
        <color rgb="FFFF0000"/>
        <rFont val="宋体"/>
        <charset val="134"/>
      </rPr>
      <t>单款单独包装</t>
    </r>
    <r>
      <rPr>
        <sz val="9"/>
        <rFont val="宋体"/>
        <charset val="134"/>
      </rPr>
      <t>，18PCS/PDQ/外箱</t>
    </r>
  </si>
  <si>
    <t>W-9217463</t>
  </si>
  <si>
    <t>33519-000-1A-018-HTD
/33419-000-1A-018-HTD
/33416-000-1C-018-HTD
/33425-000-1A-018-HTD
/33420-000-1B-018-HTD
/33428-000-1A-018-HTD
/33424-000-1A-018-HTD</t>
  </si>
  <si>
    <t>33415MA25017</t>
  </si>
  <si>
    <t>33478-000-1A-018-HTD
/33481-000-1A-018-HTD
/33479-000-1A-018-HTD
/33486-000-1A-018-HTD
/33421-000-1A-018-HTD
/33417-000-1B-018-HTD</t>
  </si>
  <si>
    <t>POHK-25-18499</t>
  </si>
  <si>
    <t>XSDD000069</t>
  </si>
  <si>
    <t>1PC/吊牌+UK圆形贴纸(1/28订)，18PCS/PDQ/外箱</t>
  </si>
  <si>
    <t>2950867592</t>
  </si>
  <si>
    <t>POHK-25-20273</t>
  </si>
  <si>
    <t>XSDD000065</t>
  </si>
  <si>
    <r>
      <rPr>
        <sz val="9"/>
        <rFont val="宋体"/>
        <charset val="134"/>
      </rPr>
      <t xml:space="preserve">1PC/吊牌，36PC/胶袋/箱+贴纸（1/8寄）
</t>
    </r>
    <r>
      <rPr>
        <sz val="9"/>
        <color rgb="FFFF0000"/>
        <rFont val="宋体"/>
        <charset val="134"/>
      </rPr>
      <t>33486要改成33089吊牌</t>
    </r>
  </si>
  <si>
    <t>5925678</t>
  </si>
  <si>
    <t>33685-5BW-1B-036-HT0</t>
  </si>
  <si>
    <t>33475-EU0-2G-018-HTD</t>
  </si>
  <si>
    <t>JPLLC(GOLDEN LINK)</t>
  </si>
  <si>
    <t>Joyce</t>
  </si>
  <si>
    <t>POHK-26-00273</t>
  </si>
  <si>
    <t>XSDD000016</t>
  </si>
  <si>
    <t>4804-R0-GLDNLINK</t>
  </si>
  <si>
    <t>33475-000-1L-018-HTD</t>
  </si>
  <si>
    <t>3/18运输测试</t>
  </si>
  <si>
    <t>33475-000-4F-018-HTD</t>
  </si>
  <si>
    <t>POHK-26-01543</t>
  </si>
  <si>
    <t>XSDD000092</t>
  </si>
  <si>
    <t>1PC/吊牌+客供进口商吊牌，18PCS/PDQ/外箱
拍照给客人确认</t>
  </si>
  <si>
    <t>PO004906</t>
  </si>
  <si>
    <t xml:space="preserve"> 33475-000-4A-018-HTD</t>
  </si>
  <si>
    <t xml:space="preserve">Benson's (Australia) </t>
  </si>
  <si>
    <t xml:space="preserve"> POHK-26-00919</t>
  </si>
  <si>
    <t>XSDD000085</t>
  </si>
  <si>
    <t>B516279</t>
  </si>
  <si>
    <t>33627-000-1A-048-HT0
33420-000-1C-048-HT0</t>
  </si>
  <si>
    <t>POHK-26-04920</t>
  </si>
  <si>
    <t>XSDD000184</t>
  </si>
  <si>
    <t>FAC-116985-26098</t>
  </si>
  <si>
    <t>3/16下四川</t>
  </si>
  <si>
    <t>W-9445341</t>
  </si>
  <si>
    <t>33519-000-1A-018-HTD/33419-000-1A-018-HTD/33416-000-1C-018-HTD/33424-000-1A-018-HTD/33420-000-1B-018-HTD/33478-000-1A-018-HTD/33481-000-1A-018-HTD/33479-000-1A-018-HTD/33421-000-1A-018-HTD/33417-000-1B-018-HTD</t>
  </si>
  <si>
    <t>1PC/吊牌+客供葡萄牙吊牌，18PCS/PDQ/箱（专用蓝色封箱胶）</t>
  </si>
  <si>
    <t>33475-000-1A-018-HTD</t>
  </si>
  <si>
    <t>POHK-26-02812</t>
  </si>
  <si>
    <t>XSDD000139</t>
  </si>
  <si>
    <t>3/14下</t>
  </si>
  <si>
    <t>W-9667418</t>
  </si>
  <si>
    <t>33519-000-1A-018-HTD
/33419-000-1A-018-HTD
/33416-000-1C-018-HTD
/33420-000-1B-018-HTD
/33478-000-1A-018-HTD
/33481-000-1A-018-HTD
/33479-000-1A-018-HTD
/33421-000-1A-018-HTD
/33417-000-1B-018-HTD</t>
  </si>
  <si>
    <t>Grupo Mas Tre</t>
  </si>
  <si>
    <t xml:space="preserve"> POHK-26-01594</t>
  </si>
  <si>
    <t>XSDD000332</t>
  </si>
  <si>
    <t>1PC/吊牌+客供吊牌，48PCS+蛋格/外箱（客到工厂提货）</t>
  </si>
  <si>
    <t>2026/5/8运输
2026/5/14</t>
  </si>
  <si>
    <t xml:space="preserve"> G-MAS-T_INQ_020626</t>
  </si>
  <si>
    <t>33486-000-1C-048-HT0/
33417-000-1C-048-HT0/ 
33481-000-1C-048-HT0/ 
33416-000-1D-048-HT0/ 
33420-000-1C-048-HT0</t>
  </si>
  <si>
    <t>Red Planet Group</t>
  </si>
  <si>
    <t>POHK-26-08549</t>
  </si>
  <si>
    <t>XSDD000330</t>
  </si>
  <si>
    <t>4/13下</t>
  </si>
  <si>
    <t>1PC/吊牌+客供进口商吊牌，18PCS/PDQ/外箱</t>
  </si>
  <si>
    <t>PO005080</t>
  </si>
  <si>
    <t>POHK-26-01777</t>
  </si>
  <si>
    <t>XSDD000179</t>
  </si>
  <si>
    <t>1PC/吊牌+客供吊牌，24PCS混装/胶袋，8袋=192PCS/外箱</t>
  </si>
  <si>
    <t>PORD119125</t>
  </si>
  <si>
    <t xml:space="preserve">Hobby Lobby </t>
  </si>
  <si>
    <t>POHK-26-05252</t>
  </si>
  <si>
    <t>XSDD000294</t>
  </si>
  <si>
    <t>1PC/吊牌+价格贴纸，36PCS/胶袋/外箱 +棕色封箱胶</t>
  </si>
  <si>
    <t>W0764062</t>
  </si>
  <si>
    <t>POHK-26-08147</t>
  </si>
  <si>
    <t>XSDD000323</t>
  </si>
  <si>
    <t>W0767576</t>
  </si>
  <si>
    <t>B&amp;M UK</t>
  </si>
  <si>
    <t>POHK-26-02474</t>
  </si>
  <si>
    <t>XSDD000481</t>
  </si>
  <si>
    <t>5/11下</t>
  </si>
  <si>
    <t>1PC/吊牌+客供半圆形贴纸，18PCS/PDQ/外箱</t>
  </si>
  <si>
    <t>02467710/1</t>
  </si>
  <si>
    <t>33475-EU0-3G-018-HTD</t>
  </si>
  <si>
    <r>
      <rPr>
        <sz val="9"/>
        <rFont val="宋体"/>
        <charset val="134"/>
      </rPr>
      <t xml:space="preserve">Kohls
</t>
    </r>
    <r>
      <rPr>
        <sz val="9"/>
        <color rgb="FFFF0000"/>
        <rFont val="宋体"/>
        <charset val="134"/>
      </rPr>
      <t>（送丹尼）</t>
    </r>
  </si>
  <si>
    <t>POHK-26-08521</t>
  </si>
  <si>
    <t>XSDD000333</t>
  </si>
  <si>
    <t>送丹尼，1PC/吊牌+价格贴纸（4/18寄），18PC/PDQ/箱</t>
  </si>
  <si>
    <t>2026/5/22运输
2026/5/22</t>
  </si>
  <si>
    <t>16300344</t>
  </si>
  <si>
    <t>35215-000-1B-070-PLT
33615-999-01-000-000</t>
  </si>
  <si>
    <t>POHK-26-02482</t>
  </si>
  <si>
    <t>XSDD000443</t>
  </si>
  <si>
    <t>2026/5/28运输
2026/6/4</t>
  </si>
  <si>
    <t>02467771/1</t>
  </si>
  <si>
    <t>33475-EU0-4C-018-HTD</t>
  </si>
  <si>
    <t xml:space="preserve">WD Parks &amp; Reosrt </t>
  </si>
  <si>
    <t>POHK-26-10931</t>
  </si>
  <si>
    <t>XSDD000512</t>
  </si>
  <si>
    <t>1PC/吊牌，18PCS/PDQ/外箱+黄色封箱胶</t>
  </si>
  <si>
    <t>7001315192</t>
  </si>
  <si>
    <t>33478-000-1A-018-HTD
33479-000-1A-018-HTD
33481-000-1A-018-HTD</t>
  </si>
  <si>
    <t>MA26012</t>
  </si>
  <si>
    <t>1PC/吊牌，36PCS/蛋格/外箱+黄色封箱胶</t>
  </si>
  <si>
    <t>2026/6/2运输
2026/6/2</t>
  </si>
  <si>
    <t>33423-000-1A-036-HT0
33622-000-1B-036-HT0
33480-000-1A-036-HT0</t>
  </si>
  <si>
    <t xml:space="preserve">Disney - WD Parks &amp; Reosrt </t>
  </si>
  <si>
    <t>POHK-26-10936</t>
  </si>
  <si>
    <t>XSDD000507</t>
  </si>
  <si>
    <t>7001342857</t>
  </si>
  <si>
    <t>Disney Destinations</t>
  </si>
  <si>
    <t>POHK-26-10930</t>
  </si>
  <si>
    <t>XSDD000558</t>
  </si>
  <si>
    <t>7001335427</t>
  </si>
  <si>
    <t>33478-000-1A-018-HTD
33481-000-1A-018-HTD</t>
  </si>
  <si>
    <t>删UPC
5/5下</t>
  </si>
  <si>
    <t>1PC/吊牌+客UPC贴纸，单款单独包装，36PCS/蛋格+外箱+贴纸</t>
  </si>
  <si>
    <t>W-9684320</t>
  </si>
  <si>
    <t>33423-000-1A-036-HT0
33622-000-1B-036-HT0</t>
  </si>
  <si>
    <t>33475-000-2A-018-HTD</t>
  </si>
  <si>
    <t>Pecos/Chile</t>
  </si>
  <si>
    <t>POHK-26-09584</t>
  </si>
  <si>
    <t>XSDD000490</t>
  </si>
  <si>
    <t>1PC/吊牌，18PCS/PDQ/外箱
客到工厂提货</t>
  </si>
  <si>
    <t>POHK-26-03042</t>
  </si>
  <si>
    <t>XSDD000141</t>
  </si>
  <si>
    <t>FAC-116985-26182</t>
  </si>
  <si>
    <t>W-9667419</t>
  </si>
  <si>
    <t>删UPC
6/15下</t>
  </si>
  <si>
    <t>POHK-26-11388</t>
  </si>
  <si>
    <t>XSDD000565</t>
  </si>
  <si>
    <t>6/15下</t>
  </si>
  <si>
    <t>1PC/吊牌+价格贴纸，18PC/PDQ/箱+贴纸</t>
  </si>
  <si>
    <t>16296977</t>
  </si>
  <si>
    <t>33615-000-1A-018-HTD</t>
  </si>
  <si>
    <t>Asia Goal HK</t>
  </si>
  <si>
    <t>POHK-26-13369</t>
  </si>
  <si>
    <t>XSDD000644</t>
  </si>
  <si>
    <t>7/10下</t>
  </si>
  <si>
    <t>1PC/吊牌+客供贴纸，18PC/PDQ/外箱</t>
  </si>
  <si>
    <t>PO-AG260098
送貨至东莞宸月货运倉庫</t>
  </si>
  <si>
    <t>Hobby Lobby</t>
  </si>
  <si>
    <t>POHK-26-14339</t>
  </si>
  <si>
    <t>XSDD000680</t>
  </si>
  <si>
    <t>1PC/吊牌+价格贴纸，36PCS/胶袋/外箱+棕色封箱胶</t>
  </si>
  <si>
    <t>W0774643</t>
  </si>
  <si>
    <t>MA26014</t>
  </si>
  <si>
    <r>
      <rPr>
        <sz val="9"/>
        <rFont val="宋体"/>
        <charset val="134"/>
      </rPr>
      <t>Whitcoulls (NZ)</t>
    </r>
    <r>
      <rPr>
        <sz val="9"/>
        <color rgb="FFFF0000"/>
        <rFont val="宋体"/>
        <charset val="134"/>
      </rPr>
      <t xml:space="preserve"> </t>
    </r>
    <r>
      <rPr>
        <b/>
        <sz val="9"/>
        <color rgb="FFFF0000"/>
        <rFont val="宋体"/>
        <charset val="134"/>
      </rPr>
      <t>(送丹尼)</t>
    </r>
  </si>
  <si>
    <t>POHK-26-10886</t>
  </si>
  <si>
    <t>XSDD000897</t>
  </si>
  <si>
    <t>7/10下，PDQ供送</t>
  </si>
  <si>
    <t>备用箱</t>
  </si>
  <si>
    <t>1PC/吊牌+客供价格贴纸，18PC/PDQ/箱（产线找备用箱）</t>
  </si>
  <si>
    <t>送丹尼，4504245053</t>
  </si>
  <si>
    <t>1PC/吊牌+客供价格贴纸，1个空PDQ</t>
  </si>
  <si>
    <t>POHK-26-11389</t>
  </si>
  <si>
    <t>XSDD000566</t>
  </si>
  <si>
    <t>7/16下</t>
  </si>
  <si>
    <t>16297004</t>
  </si>
  <si>
    <t>POHK-26-14430</t>
  </si>
  <si>
    <t>XSDD000902</t>
  </si>
  <si>
    <t>印在贴纸上</t>
  </si>
  <si>
    <t>8/12下</t>
  </si>
  <si>
    <r>
      <rPr>
        <sz val="9"/>
        <rFont val="宋体"/>
        <charset val="134"/>
      </rPr>
      <t>1PC/吊牌+</t>
    </r>
    <r>
      <rPr>
        <sz val="9"/>
        <color rgb="FFFF0000"/>
        <rFont val="宋体"/>
        <charset val="134"/>
      </rPr>
      <t>半圆形贴纸（8/17订）</t>
    </r>
    <r>
      <rPr>
        <sz val="9"/>
        <rFont val="宋体"/>
        <charset val="134"/>
      </rPr>
      <t>，18PCS/PDQ/外箱</t>
    </r>
  </si>
  <si>
    <t>02564443/1</t>
  </si>
  <si>
    <r>
      <rPr>
        <sz val="9"/>
        <rFont val="宋体"/>
        <charset val="134"/>
      </rPr>
      <t xml:space="preserve">POHK-26-14430
</t>
    </r>
    <r>
      <rPr>
        <sz val="9"/>
        <color rgb="FFFF0000"/>
        <rFont val="宋体"/>
        <charset val="134"/>
      </rPr>
      <t>从PO#02474转入</t>
    </r>
  </si>
  <si>
    <r>
      <rPr>
        <sz val="9"/>
        <rFont val="宋体"/>
        <charset val="134"/>
      </rPr>
      <t>1PC/吊牌+客供半圆形贴纸，18PCS/PDQ/外箱</t>
    </r>
    <r>
      <rPr>
        <sz val="9"/>
        <color rgb="FFFF0000"/>
        <rFont val="宋体"/>
        <charset val="134"/>
      </rPr>
      <t>（不更改包装，和PO#14430一起出货）</t>
    </r>
  </si>
  <si>
    <r>
      <rPr>
        <sz val="9"/>
        <rFont val="宋体"/>
        <charset val="134"/>
      </rPr>
      <t xml:space="preserve">POHK-26-14430
</t>
    </r>
    <r>
      <rPr>
        <sz val="9"/>
        <color rgb="FFFF0000"/>
        <rFont val="宋体"/>
        <charset val="134"/>
      </rPr>
      <t>从PO#02482转入</t>
    </r>
  </si>
  <si>
    <t>POHK-26-10007</t>
  </si>
  <si>
    <t>XSDD000803</t>
  </si>
  <si>
    <r>
      <rPr>
        <sz val="9"/>
        <rFont val="宋体"/>
        <charset val="134"/>
      </rPr>
      <t>1PC/吊牌+空白+价格，18PCS/PDQ，</t>
    </r>
    <r>
      <rPr>
        <sz val="9"/>
        <color rgb="FFFF0000"/>
        <rFont val="宋体"/>
        <charset val="134"/>
      </rPr>
      <t>2PDQ=36PCS/箱</t>
    </r>
    <r>
      <rPr>
        <sz val="9"/>
        <rFont val="宋体"/>
        <charset val="134"/>
      </rPr>
      <t>+贴纸</t>
    </r>
  </si>
  <si>
    <t>7124278</t>
  </si>
  <si>
    <t>POHK-26-10008</t>
  </si>
  <si>
    <t>XSDD000799</t>
  </si>
  <si>
    <t>7128989</t>
  </si>
  <si>
    <t>POHK-26-10009</t>
  </si>
  <si>
    <t>XSDD000798</t>
  </si>
  <si>
    <r>
      <rPr>
        <sz val="9"/>
        <rFont val="宋体"/>
        <charset val="134"/>
      </rPr>
      <t>1PC/吊牌+空白+价格/胶袋+贴纸，</t>
    </r>
    <r>
      <rPr>
        <sz val="9"/>
        <color rgb="FFFF0000"/>
        <rFont val="宋体"/>
        <charset val="134"/>
      </rPr>
      <t>48PCS</t>
    </r>
    <r>
      <rPr>
        <sz val="9"/>
        <rFont val="宋体"/>
        <charset val="134"/>
      </rPr>
      <t>/箱+贴纸</t>
    </r>
  </si>
  <si>
    <t>7128983</t>
  </si>
  <si>
    <t xml:space="preserve">Hot Topic
(HTIN TN) </t>
  </si>
  <si>
    <t>POHK-26-10010</t>
  </si>
  <si>
    <t>XSDD000797</t>
  </si>
  <si>
    <t>7128982</t>
  </si>
  <si>
    <t>POHK-26-17831</t>
  </si>
  <si>
    <t>XSDD000946</t>
  </si>
  <si>
    <t>2666KTY01</t>
  </si>
  <si>
    <t>9/7下</t>
  </si>
  <si>
    <t>1PC/吊牌（印条码），单款单独包装，36PCS+蛋格/外箱+黄色封箱胶</t>
  </si>
  <si>
    <r>
      <rPr>
        <sz val="9"/>
        <rFont val="宋体"/>
        <charset val="134"/>
      </rPr>
      <t xml:space="preserve">7001541677
</t>
    </r>
    <r>
      <rPr>
        <sz val="9"/>
        <color rgb="FFFF0000"/>
        <rFont val="宋体"/>
        <charset val="134"/>
      </rPr>
      <t>发空运</t>
    </r>
  </si>
  <si>
    <t>33417-000-1D-036-HT0
/33419-000-1B-036-HT0
/33519-000-1B-036-HT0</t>
  </si>
  <si>
    <t>MA26016</t>
  </si>
  <si>
    <t>POHK-26-18914</t>
  </si>
  <si>
    <t>XSDD000998</t>
  </si>
  <si>
    <t>9/9下</t>
  </si>
  <si>
    <r>
      <rPr>
        <sz val="9"/>
        <rFont val="宋体"/>
        <charset val="134"/>
      </rPr>
      <t>1PC/吊牌+价格贴纸，36PCS/</t>
    </r>
    <r>
      <rPr>
        <sz val="9"/>
        <color rgb="FFFF0000"/>
        <rFont val="宋体"/>
        <charset val="134"/>
      </rPr>
      <t>胶袋</t>
    </r>
    <r>
      <rPr>
        <sz val="9"/>
        <rFont val="宋体"/>
        <charset val="134"/>
      </rPr>
      <t>/外箱+棕色封箱胶</t>
    </r>
  </si>
  <si>
    <t>W0785536</t>
  </si>
  <si>
    <t>吊牌库存，后期DISNEY 无UPC可用</t>
  </si>
  <si>
    <t>2026年 #33813  搪胶小鸭子系列7款订单汇总表</t>
  </si>
  <si>
    <t>POHK-26-04184</t>
  </si>
  <si>
    <t>XSDD000309</t>
  </si>
  <si>
    <t>1146KTY01</t>
  </si>
  <si>
    <t>4/14下</t>
  </si>
  <si>
    <t>4/10下</t>
  </si>
  <si>
    <t>1PC/吊牌(统一条码），7PCS/胶袋/热封，12胶袋/箱</t>
  </si>
  <si>
    <t>4/15运输
2026/5/7</t>
  </si>
  <si>
    <t>6827-R1-AMZ</t>
  </si>
  <si>
    <t>33813-000-1A-012-HPG</t>
  </si>
  <si>
    <t>POHK-26-09340</t>
  </si>
  <si>
    <t>XSDD000357</t>
  </si>
  <si>
    <t>4/21订</t>
  </si>
  <si>
    <t>6870-R0-AMZ</t>
  </si>
  <si>
    <t>5/14订</t>
  </si>
  <si>
    <t>1PC/吊牌，7PCS/胶袋/热封，12袋/箱+贴纸</t>
  </si>
  <si>
    <t>7LM1EOJU -DC#AVV2</t>
  </si>
  <si>
    <t>1PC/吊牌(统一条码），7PCS/胶袋/热封，12袋/箱+贴纸</t>
  </si>
  <si>
    <t>6RIED7CY -DC#AVV2</t>
  </si>
  <si>
    <t>Just Play LLC（Amazon US）</t>
  </si>
  <si>
    <t>POHK-26-09963</t>
  </si>
  <si>
    <t>XSDD000510</t>
  </si>
  <si>
    <t>7/7下</t>
  </si>
  <si>
    <t>7/9订</t>
  </si>
  <si>
    <t>POHK-26-09966</t>
  </si>
  <si>
    <t>XSDD000854</t>
  </si>
  <si>
    <t>7/30订</t>
  </si>
  <si>
    <t>2026年  #33812 小鸭系列5款订单汇总表</t>
  </si>
  <si>
    <t>1PC/吊牌(统一条码），5PCS/胶袋/热封，12胶袋/箱</t>
  </si>
  <si>
    <t>33812-000-1A-012-HPG</t>
  </si>
  <si>
    <t>1PC/吊牌，5PCS/胶袋/热封，12袋/箱+贴纸</t>
  </si>
  <si>
    <t>7E2R3Y2G -DC#AVV2</t>
  </si>
  <si>
    <t>1PC/吊牌(统一条码），5PCS/胶袋/热封，12袋/箱+贴纸</t>
  </si>
  <si>
    <t>6OVN1FAD -DC#AVV2</t>
  </si>
  <si>
    <t>6870-R0-AMZ，常平出货</t>
  </si>
  <si>
    <t>POHK-26-15885</t>
  </si>
  <si>
    <t>XSDD000804</t>
  </si>
  <si>
    <t>8/22订</t>
  </si>
  <si>
    <t>8/8订</t>
  </si>
  <si>
    <t>1PC/吊牌，5PCS/胶袋/热封+进口商贴纸（贴背面），12胶袋/箱+贴纸</t>
  </si>
  <si>
    <t>5XO874MB -DC#YOW3</t>
  </si>
  <si>
    <t>MA26004</t>
  </si>
  <si>
    <t>7JY15Y9K -DC#YOW3</t>
  </si>
  <si>
    <t>4YUI6TMX -DC#YVR2</t>
  </si>
  <si>
    <t>Just Play LLC（Amazon domestic）</t>
  </si>
  <si>
    <t>POHK-26-18356</t>
  </si>
  <si>
    <t>XSDD000981</t>
  </si>
  <si>
    <t>1PC/吊牌，5PCS/胶袋/热封，12胶袋/箱+贴纸</t>
  </si>
  <si>
    <t>6988-R0-AMZ，常平出货</t>
  </si>
  <si>
    <t>DDD9/16</t>
  </si>
  <si>
    <t>1JCEHIFG -DC#YOW3</t>
  </si>
  <si>
    <t>2026年 #33808  搪胶小鸭子系列8款订单汇总表</t>
  </si>
  <si>
    <t>1PC/吊牌，8PCS/胶袋/热封，12袋/箱</t>
  </si>
  <si>
    <t>33808-000-1A-012-HPG</t>
  </si>
  <si>
    <t>1PC/吊牌，8PCS/胶袋/热封，12袋/箱+贴纸</t>
  </si>
  <si>
    <t>35MGX46K -DC#AVV2</t>
  </si>
  <si>
    <t>1PC/吊牌(统一条码），8PCS/胶袋/热封，12袋/箱+贴纸</t>
  </si>
  <si>
    <t>5TLGXKSU -DC#AVV2</t>
  </si>
  <si>
    <t>1PC/吊牌(统一条码），8PCS/胶袋/热封，12胶袋/箱</t>
  </si>
  <si>
    <t>1PC/吊牌，8PCS/胶袋/热封+进口商贴纸（贴背面），12胶袋/箱+贴纸</t>
  </si>
  <si>
    <t>7SKKLC2V -DC#YOW3</t>
  </si>
  <si>
    <t>33808MA26004</t>
  </si>
  <si>
    <t>779DIAVJ -DC#YOW3</t>
  </si>
  <si>
    <t>25J3ZIKF -DC#YOW3</t>
  </si>
  <si>
    <t>33808MA26005</t>
  </si>
  <si>
    <t>POHK-26-18466</t>
  </si>
  <si>
    <t>XSDD000964</t>
  </si>
  <si>
    <t>8/28下</t>
  </si>
  <si>
    <t>8/26订</t>
  </si>
  <si>
    <t>88NIB9CW -DC#YVR4</t>
  </si>
  <si>
    <t>33808MA26006</t>
  </si>
  <si>
    <t>88YAG1SZ -DC#YYZ7</t>
  </si>
  <si>
    <t>2026年 #33807  搪胶小鸭子系列8款订单汇总表</t>
  </si>
  <si>
    <t>#26852
神奇女侠</t>
  </si>
  <si>
    <t>#26854
小丑</t>
  </si>
  <si>
    <t>#26855
闪电侠</t>
  </si>
  <si>
    <t>#26871
小魔怪</t>
  </si>
  <si>
    <t>#26872
法师</t>
  </si>
  <si>
    <t>#26873
IT小丑</t>
  </si>
  <si>
    <t>33807-000-1A-012-HPG</t>
  </si>
  <si>
    <t>348T5GXB -DC#AVV2</t>
  </si>
  <si>
    <t>5K1VS92U -DC#AVV2</t>
  </si>
  <si>
    <t>2026年 送RR 搪胶小鸭子系列订单汇总表</t>
  </si>
  <si>
    <t>#33476
(46897/
46913)
天使</t>
  </si>
  <si>
    <t>#33477
(46857)
外星史迪仔</t>
  </si>
  <si>
    <t>46862
荧光杰克</t>
  </si>
  <si>
    <t>33420（46912）
维尼熊</t>
  </si>
  <si>
    <t>POHK-26-06617，6/13多送180PCS，后期扣数</t>
  </si>
  <si>
    <t>WM CA</t>
  </si>
  <si>
    <t>POHK-26-05014</t>
  </si>
  <si>
    <t>XSDD000261</t>
  </si>
  <si>
    <t>3/2订蓝色
21K</t>
  </si>
  <si>
    <t>1PC/胶袋热封</t>
  </si>
  <si>
    <t>WMCA 46857 URG PO1</t>
  </si>
  <si>
    <t>46857-000-1B-001-SWG
46857-999-01-000-002</t>
  </si>
  <si>
    <t>POHK-26-05021</t>
  </si>
  <si>
    <t>XSDD000262</t>
  </si>
  <si>
    <t>3/5订绿色
5K</t>
  </si>
  <si>
    <t>WMCA 46857 URG PO2</t>
  </si>
  <si>
    <t>Spectron B.V.</t>
  </si>
  <si>
    <t>POHK-26-02000</t>
  </si>
  <si>
    <t>XSDD000143</t>
  </si>
  <si>
    <t>3/5订紫色
10K</t>
  </si>
  <si>
    <t>50002244</t>
  </si>
  <si>
    <t>46886-000-1A-004-SWG
46886-999-01-000-001</t>
  </si>
  <si>
    <t>Amazon</t>
  </si>
  <si>
    <t>XSDD000241</t>
  </si>
  <si>
    <t>3/11订紫色
15K</t>
  </si>
  <si>
    <t>46857-000-1A-004-SWG
46857-999-01-000-002</t>
  </si>
  <si>
    <t>POHK-26-05022</t>
  </si>
  <si>
    <t>XSDD000328</t>
  </si>
  <si>
    <t>3/25订蓝色
30K</t>
  </si>
  <si>
    <t>7000994509</t>
  </si>
  <si>
    <t>POHK-26-05031</t>
  </si>
  <si>
    <t>XSDD000400</t>
  </si>
  <si>
    <t>4/17订绿色
12K</t>
  </si>
  <si>
    <t>7000994932</t>
  </si>
  <si>
    <t>46862-000-1B-001-SWG</t>
  </si>
  <si>
    <t>POHK-26-05033</t>
  </si>
  <si>
    <t>XSDD000398</t>
  </si>
  <si>
    <t>7000995353</t>
  </si>
  <si>
    <t>POHK-26-05035</t>
  </si>
  <si>
    <t>XSDD000376</t>
  </si>
  <si>
    <t>7000995355</t>
  </si>
  <si>
    <t>46862-000-1B-001-SWG
46862-999-01-000-000</t>
  </si>
  <si>
    <t>WM USA</t>
  </si>
  <si>
    <t>Thomas</t>
  </si>
  <si>
    <t>POHK-26-02445</t>
  </si>
  <si>
    <t>XSDD000544</t>
  </si>
  <si>
    <t>0980443823</t>
  </si>
  <si>
    <t>46897-000-1B-001-SWG</t>
  </si>
  <si>
    <t>POHK-26-02446</t>
  </si>
  <si>
    <t>XSDD000545</t>
  </si>
  <si>
    <t>0980443816</t>
  </si>
  <si>
    <t>POHK-26-02447</t>
  </si>
  <si>
    <t>XSDD000546</t>
  </si>
  <si>
    <t>0980443840</t>
  </si>
  <si>
    <t>POHK-26-02449</t>
  </si>
  <si>
    <t>XSDD000548</t>
  </si>
  <si>
    <t>0980443820</t>
  </si>
  <si>
    <t>POHK-26-02450</t>
  </si>
  <si>
    <t>XSDD000547</t>
  </si>
  <si>
    <t>0980443805</t>
  </si>
  <si>
    <t>POHK-26-02451</t>
  </si>
  <si>
    <t>XSDD000550</t>
  </si>
  <si>
    <t>0980443831</t>
  </si>
  <si>
    <t>POHK-26-02452</t>
  </si>
  <si>
    <t>XSDD000549</t>
  </si>
  <si>
    <t>0980443917</t>
  </si>
  <si>
    <t>46862-000-1A-004-SWG
46862-999-01-000-000</t>
  </si>
  <si>
    <t>WM.COM</t>
  </si>
  <si>
    <t>POHK-26-08545</t>
  </si>
  <si>
    <t>XSDD000317</t>
  </si>
  <si>
    <t>6879-R0-WMT</t>
  </si>
  <si>
    <t>46857-000-1A-004-SWG
46897-000-1A-004-SWG</t>
  </si>
  <si>
    <t>POHK-26-02315</t>
  </si>
  <si>
    <t>XSDD000194</t>
  </si>
  <si>
    <t>0980443906</t>
  </si>
  <si>
    <t>POHK-26-02316</t>
  </si>
  <si>
    <t>XSDD000195</t>
  </si>
  <si>
    <t>0980443888</t>
  </si>
  <si>
    <t>POHK-26-02317</t>
  </si>
  <si>
    <t>XSDD000196</t>
  </si>
  <si>
    <t>0980443892</t>
  </si>
  <si>
    <t>POHK-26-02318</t>
  </si>
  <si>
    <t>XSDD000197</t>
  </si>
  <si>
    <t>0980443870</t>
  </si>
  <si>
    <t>POHK-26-02319</t>
  </si>
  <si>
    <t>XSDD000198</t>
  </si>
  <si>
    <t>0980443903</t>
  </si>
  <si>
    <t>POHK-26-02320</t>
  </si>
  <si>
    <t>XSDD000199</t>
  </si>
  <si>
    <t>0980443897</t>
  </si>
  <si>
    <t>POHK-26-02321</t>
  </si>
  <si>
    <t>XSDD000200</t>
  </si>
  <si>
    <t>0980443952</t>
  </si>
  <si>
    <t>POHK-26-03356</t>
  </si>
  <si>
    <t>XSDD000215</t>
  </si>
  <si>
    <t>0980522994</t>
  </si>
  <si>
    <t>46857-000-1C-001-SGS
46857-999-01-000-002
46897-000-1C-001-SGS
46897-999-01-000-001</t>
  </si>
  <si>
    <t>POHK-26-03362</t>
  </si>
  <si>
    <t>XSDD000214</t>
  </si>
  <si>
    <t>0980523003</t>
  </si>
  <si>
    <t>POHK-26-08011</t>
  </si>
  <si>
    <t>XSDD000310</t>
  </si>
  <si>
    <t>0991252817</t>
  </si>
  <si>
    <t>46897-000-1C-001-SGS</t>
  </si>
  <si>
    <t>POHK-26-03364</t>
  </si>
  <si>
    <t>XSDD000213</t>
  </si>
  <si>
    <t>0980522957</t>
  </si>
  <si>
    <t>POHK-26-08013</t>
  </si>
  <si>
    <t>XSDD000312</t>
  </si>
  <si>
    <t>0991252869</t>
  </si>
  <si>
    <t>POHK-26-03366</t>
  </si>
  <si>
    <t>XSDD000212</t>
  </si>
  <si>
    <t>0980522968</t>
  </si>
  <si>
    <t>POHK-26-08014</t>
  </si>
  <si>
    <t>XSDD000313</t>
  </si>
  <si>
    <t>0991252883</t>
  </si>
  <si>
    <t>POHK-26-03367</t>
  </si>
  <si>
    <t>XSDD000211</t>
  </si>
  <si>
    <t>0980522961</t>
  </si>
  <si>
    <t>POHK-26-08015</t>
  </si>
  <si>
    <t>XSDD000314</t>
  </si>
  <si>
    <t>0991252893</t>
  </si>
  <si>
    <t>POHK-26-03369</t>
  </si>
  <si>
    <t>XSDD000210</t>
  </si>
  <si>
    <t>0980522966</t>
  </si>
  <si>
    <t>POHK-26-03371</t>
  </si>
  <si>
    <t>XSDD000209</t>
  </si>
  <si>
    <t>0980522962</t>
  </si>
  <si>
    <t>POHK-26-08012</t>
  </si>
  <si>
    <t>XSDD000311</t>
  </si>
  <si>
    <t>0991252828</t>
  </si>
  <si>
    <t>POHK-26-04330</t>
  </si>
  <si>
    <t>XSDD000222</t>
  </si>
  <si>
    <t>0984878424</t>
  </si>
  <si>
    <t>POHK-26-04332</t>
  </si>
  <si>
    <t>XSDD000221</t>
  </si>
  <si>
    <t>0984878436</t>
  </si>
  <si>
    <t>POHK-26-04333</t>
  </si>
  <si>
    <t>XSDD000220</t>
  </si>
  <si>
    <t>0984878446</t>
  </si>
  <si>
    <t>POHK-26-04334</t>
  </si>
  <si>
    <t>XSDD000219</t>
  </si>
  <si>
    <t>0984878452</t>
  </si>
  <si>
    <t>POHK-26-04335</t>
  </si>
  <si>
    <t>XSDD000218</t>
  </si>
  <si>
    <t>0984878456</t>
  </si>
  <si>
    <t>POHK-26-04336</t>
  </si>
  <si>
    <t>XSDD000217</t>
  </si>
  <si>
    <t>0984878571</t>
  </si>
  <si>
    <t>POHK-26-04337</t>
  </si>
  <si>
    <t>XSDD000216</t>
  </si>
  <si>
    <t>0984878614</t>
  </si>
  <si>
    <t>POHK-26-04338</t>
  </si>
  <si>
    <t>XSDD000229</t>
  </si>
  <si>
    <t>0984878464</t>
  </si>
  <si>
    <t>POHK-26-04339</t>
  </si>
  <si>
    <t>XSDD000228</t>
  </si>
  <si>
    <t>0984878465</t>
  </si>
  <si>
    <t>POHK-26-04340</t>
  </si>
  <si>
    <t>XSDD000227</t>
  </si>
  <si>
    <t>0984878489</t>
  </si>
  <si>
    <t>POHK-26-04342</t>
  </si>
  <si>
    <t>XSDD000226</t>
  </si>
  <si>
    <t>0984878510</t>
  </si>
  <si>
    <t>POHK-26-04344</t>
  </si>
  <si>
    <t>XSDD000225</t>
  </si>
  <si>
    <t>0984878557</t>
  </si>
  <si>
    <t>POHK-26-04346</t>
  </si>
  <si>
    <t>XSDD000224</t>
  </si>
  <si>
    <t>0984878593</t>
  </si>
  <si>
    <t>POHK-26-04347</t>
  </si>
  <si>
    <t>XSDD000223</t>
  </si>
  <si>
    <t>0984878597</t>
  </si>
  <si>
    <t>POHK-26-09211</t>
  </si>
  <si>
    <t>XSDD000359</t>
  </si>
  <si>
    <t>29564-000-1B-042-PLT
46857-999-01-000-002</t>
  </si>
  <si>
    <t>POHK-26-04273</t>
  </si>
  <si>
    <t>XSDD000264</t>
  </si>
  <si>
    <t>46897-000-1A-004-SWG
46897-999-01-000-001</t>
  </si>
  <si>
    <t>POHK-26-05474</t>
  </si>
  <si>
    <t>XSDD000316</t>
  </si>
  <si>
    <t>2026/5/11
2026/5/16交清</t>
  </si>
  <si>
    <t>50002320</t>
  </si>
  <si>
    <t>46913-000-1A-004-SWG</t>
  </si>
  <si>
    <t>POHK-26-05023</t>
  </si>
  <si>
    <t>XSDD000329</t>
  </si>
  <si>
    <t>7000994510</t>
  </si>
  <si>
    <t>POHK-26-08241</t>
  </si>
  <si>
    <t>XSDD000322</t>
  </si>
  <si>
    <t>16300981</t>
  </si>
  <si>
    <t>46857-000-1A-004-SWG</t>
  </si>
  <si>
    <t>BJ's</t>
  </si>
  <si>
    <t>POHK-26-06244</t>
  </si>
  <si>
    <t>XSDD000324</t>
  </si>
  <si>
    <t>2026/5/7
2026/5/14</t>
  </si>
  <si>
    <t>117403867</t>
  </si>
  <si>
    <t>46855-000-1A-006-SWQ</t>
  </si>
  <si>
    <t>POHK-26-06246</t>
  </si>
  <si>
    <t>XSDD000326</t>
  </si>
  <si>
    <t>2026/5/16
2026/5/18交清</t>
  </si>
  <si>
    <t>117403869</t>
  </si>
  <si>
    <t>2026/5/16&amp;9/8交清</t>
  </si>
  <si>
    <t>2000009966</t>
  </si>
  <si>
    <t>46886-000-1A-004-SWG</t>
  </si>
  <si>
    <t>2000009965</t>
  </si>
  <si>
    <t>POHK-26-09346</t>
  </si>
  <si>
    <t>XSDD000358</t>
  </si>
  <si>
    <t>POHK-26-09397</t>
  </si>
  <si>
    <t>XSDD000355</t>
  </si>
  <si>
    <t>46857-999-01-000-002
46897-999-01-000-001</t>
  </si>
  <si>
    <t>Maki Denmark</t>
  </si>
  <si>
    <t>POHK-26-09115</t>
  </si>
  <si>
    <t>XSDD000557</t>
  </si>
  <si>
    <t>PO014156</t>
  </si>
  <si>
    <t>46886-999-01-000-000</t>
  </si>
  <si>
    <t>POHK-26-05228</t>
  </si>
  <si>
    <t>XSDD000556</t>
  </si>
  <si>
    <t>2026/6/3
2026/6/4</t>
  </si>
  <si>
    <t>PO013819</t>
  </si>
  <si>
    <t>46886-999-01-000-001
46913-999-01-000-001</t>
  </si>
  <si>
    <t>POHK-26-06065</t>
  </si>
  <si>
    <t>XSDD000542</t>
  </si>
  <si>
    <t>PO013933</t>
  </si>
  <si>
    <t>POHK-26-06248</t>
  </si>
  <si>
    <t>XSDD000325</t>
  </si>
  <si>
    <t>2026/5/20
2026/6/4</t>
  </si>
  <si>
    <t>2026/5/23
2026/6/6交清</t>
  </si>
  <si>
    <t>117403871</t>
  </si>
  <si>
    <t>POHK-26-04349</t>
  </si>
  <si>
    <t>XSDD000283</t>
  </si>
  <si>
    <t>0984878275</t>
  </si>
  <si>
    <t>POHK-26-04351</t>
  </si>
  <si>
    <t>XSDD000284</t>
  </si>
  <si>
    <t>0984878454</t>
  </si>
  <si>
    <t>POHK-26-04358</t>
  </si>
  <si>
    <t>XSDD000285</t>
  </si>
  <si>
    <t>0984878244</t>
  </si>
  <si>
    <t>POHK-26-04359</t>
  </si>
  <si>
    <t>XSDD000286</t>
  </si>
  <si>
    <t>0984878254</t>
  </si>
  <si>
    <t>POHK-26-04360</t>
  </si>
  <si>
    <t>XSDD000287</t>
  </si>
  <si>
    <t>0984878255</t>
  </si>
  <si>
    <t>POHK-26-04361</t>
  </si>
  <si>
    <t>XSDD000288</t>
  </si>
  <si>
    <t>0984878332</t>
  </si>
  <si>
    <t>POHK-26-04362</t>
  </si>
  <si>
    <t>XSDD000289</t>
  </si>
  <si>
    <t>0984878334</t>
  </si>
  <si>
    <t>POHK-26-04363</t>
  </si>
  <si>
    <t>XSDD000290</t>
  </si>
  <si>
    <t>0984878589</t>
  </si>
  <si>
    <t>POHK-26-04364</t>
  </si>
  <si>
    <t>XSDD000291</t>
  </si>
  <si>
    <t>0984878611</t>
  </si>
  <si>
    <t>POHK-26-04353</t>
  </si>
  <si>
    <t>XSDD000278</t>
  </si>
  <si>
    <t>0984878461</t>
  </si>
  <si>
    <t>POHK-26-04354</t>
  </si>
  <si>
    <t>XSDD000279</t>
  </si>
  <si>
    <t>0984878548</t>
  </si>
  <si>
    <t>POHK-26-04355</t>
  </si>
  <si>
    <t>XSDD000280</t>
  </si>
  <si>
    <t>0984878580</t>
  </si>
  <si>
    <t>POHK-26-04356</t>
  </si>
  <si>
    <t>XSDD000281</t>
  </si>
  <si>
    <t>0984878612</t>
  </si>
  <si>
    <t>POHK-26-04357</t>
  </si>
  <si>
    <t>XSDD000282</t>
  </si>
  <si>
    <t>0984878621</t>
  </si>
  <si>
    <t>Felyx Toys</t>
  </si>
  <si>
    <t>POHK-26-04501</t>
  </si>
  <si>
    <t>XSDD000433</t>
  </si>
  <si>
    <t>POHK-26-05034</t>
  </si>
  <si>
    <t>XSDD000399</t>
  </si>
  <si>
    <t>7000995354</t>
  </si>
  <si>
    <t>POHK-26-05024</t>
  </si>
  <si>
    <t>XSDD000559</t>
  </si>
  <si>
    <t>7000994511</t>
  </si>
  <si>
    <t>46857-000-1B-001-SWG</t>
  </si>
  <si>
    <t>POHK-26-05026</t>
  </si>
  <si>
    <t>XSDD000560</t>
  </si>
  <si>
    <t>7000994512</t>
  </si>
  <si>
    <t>DEXY CO</t>
  </si>
  <si>
    <t>POHK-26-06617</t>
  </si>
  <si>
    <t>XSDD000397</t>
  </si>
  <si>
    <t>2026/5/29出680,
2026/6/13出1360交清</t>
  </si>
  <si>
    <t>多送180PCS，后期扣数</t>
  </si>
  <si>
    <t>46886-000-1A-004-SWG
46913-000-1A-004-SWG</t>
  </si>
  <si>
    <t>Vega</t>
  </si>
  <si>
    <t>POHK-26-11897</t>
  </si>
  <si>
    <t>XSDD000543</t>
  </si>
  <si>
    <t>Ben</t>
  </si>
  <si>
    <t>POHK-26-04365</t>
  </si>
  <si>
    <t>XSDD000413</t>
  </si>
  <si>
    <t>0984878265</t>
  </si>
  <si>
    <t>46857-000-1C-001-SGS
46897-000-1C-001-SGS</t>
  </si>
  <si>
    <t>POHK-26-04366</t>
  </si>
  <si>
    <t>XSDD000415</t>
  </si>
  <si>
    <t>0984878294</t>
  </si>
  <si>
    <t>POHK-26-04367</t>
  </si>
  <si>
    <t>XSDD000416</t>
  </si>
  <si>
    <t>0984878305</t>
  </si>
  <si>
    <t>POHK-26-04368</t>
  </si>
  <si>
    <t>XSDD000417</t>
  </si>
  <si>
    <t>0984878318</t>
  </si>
  <si>
    <t>POHK-26-04369</t>
  </si>
  <si>
    <t>XSDD000418</t>
  </si>
  <si>
    <t>0984878320</t>
  </si>
  <si>
    <t>POHK-26-04370</t>
  </si>
  <si>
    <t>XSDD000419</t>
  </si>
  <si>
    <t>0984878337</t>
  </si>
  <si>
    <t>POHK-26-04371</t>
  </si>
  <si>
    <t>XSDD000414</t>
  </si>
  <si>
    <t>0984878355</t>
  </si>
  <si>
    <t>Target AU</t>
  </si>
  <si>
    <t>POHK-26-13261</t>
  </si>
  <si>
    <t>XSDD000646</t>
  </si>
  <si>
    <t>2627798</t>
  </si>
  <si>
    <t>46897-000-1A-004-SWG</t>
  </si>
  <si>
    <t>Felyx Toys Ltd.</t>
  </si>
  <si>
    <t>POHK-26-02229</t>
  </si>
  <si>
    <t>XSDD000668</t>
  </si>
  <si>
    <t xml:space="preserve"> Gabes (US) </t>
  </si>
  <si>
    <t>POHK-26-10001</t>
  </si>
  <si>
    <t>XSDD000672</t>
  </si>
  <si>
    <t>69XX-R0-GABES</t>
  </si>
  <si>
    <t>Spain ECI</t>
  </si>
  <si>
    <t>POHK-26-13167</t>
  </si>
  <si>
    <t>XSDD000591</t>
  </si>
  <si>
    <t>93036201</t>
  </si>
  <si>
    <t>POHK-26-13188</t>
  </si>
  <si>
    <t>XSDD000592</t>
  </si>
  <si>
    <t>93036202</t>
  </si>
  <si>
    <t>POHK-26-04372</t>
  </si>
  <si>
    <t>XSDD000424</t>
  </si>
  <si>
    <t>0984878296</t>
  </si>
  <si>
    <t>POHK-26-04373</t>
  </si>
  <si>
    <t>XSDD000425</t>
  </si>
  <si>
    <t>0984878299</t>
  </si>
  <si>
    <t>POHK-26-04374</t>
  </si>
  <si>
    <t>XSDD000426</t>
  </si>
  <si>
    <t>0984878316</t>
  </si>
  <si>
    <t>POHK-26-04375</t>
  </si>
  <si>
    <t>XSDD000427</t>
  </si>
  <si>
    <t>0984878317</t>
  </si>
  <si>
    <t>POHK-26-04376</t>
  </si>
  <si>
    <t>XSDD000428</t>
  </si>
  <si>
    <t>0984878347</t>
  </si>
  <si>
    <t>POHK-26-04377</t>
  </si>
  <si>
    <t>XSDD000429</t>
  </si>
  <si>
    <t>0984878396</t>
  </si>
  <si>
    <t>POHK-26-04378</t>
  </si>
  <si>
    <t>XSDD000430</t>
  </si>
  <si>
    <t>0984878494</t>
  </si>
  <si>
    <t>Mejer</t>
  </si>
  <si>
    <t>POHK-26-13407</t>
  </si>
  <si>
    <t>XSDD000595</t>
  </si>
  <si>
    <t>219475958</t>
  </si>
  <si>
    <t>POHK-26-13406</t>
  </si>
  <si>
    <t>XSDD000594</t>
  </si>
  <si>
    <t>219475980</t>
  </si>
  <si>
    <t>POHK-26-08242</t>
  </si>
  <si>
    <t>XSDD000321</t>
  </si>
  <si>
    <t>16302002</t>
  </si>
  <si>
    <t>POHK-26-08243</t>
  </si>
  <si>
    <t>XSDD000320</t>
  </si>
  <si>
    <t>16303838</t>
  </si>
  <si>
    <t>POHK-26-06249</t>
  </si>
  <si>
    <t>XSDD000536</t>
  </si>
  <si>
    <t>2026/6/3
2026/6/25</t>
  </si>
  <si>
    <t>117405873</t>
  </si>
  <si>
    <t>Maple</t>
  </si>
  <si>
    <t>POHK-26-11112</t>
  </si>
  <si>
    <t>XSDD000521</t>
  </si>
  <si>
    <t>1000147403</t>
  </si>
  <si>
    <t>POHK-26-11113</t>
  </si>
  <si>
    <t>XSDD000522</t>
  </si>
  <si>
    <t>1000147393</t>
  </si>
  <si>
    <t>POHK-26-11114</t>
  </si>
  <si>
    <t>XSDD000523</t>
  </si>
  <si>
    <t>1000147388</t>
  </si>
  <si>
    <t>POHK-26-11115</t>
  </si>
  <si>
    <t>XSDD000524</t>
  </si>
  <si>
    <t>1000147409</t>
  </si>
  <si>
    <t>POHK-26-11116</t>
  </si>
  <si>
    <t>XSDD000525</t>
  </si>
  <si>
    <t>1000147390</t>
  </si>
  <si>
    <t>POHK-26-11117</t>
  </si>
  <si>
    <t>XSDD000526</t>
  </si>
  <si>
    <t>1000147404</t>
  </si>
  <si>
    <t>POHK-26-11118</t>
  </si>
  <si>
    <t>XSDD000527</t>
  </si>
  <si>
    <t>1000147398</t>
  </si>
  <si>
    <t>POHK-26-11119</t>
  </si>
  <si>
    <t>XSDD000528</t>
  </si>
  <si>
    <t>6/16送1530
7/4送2970
7/10送450，送齐</t>
  </si>
  <si>
    <t>1000147392</t>
  </si>
  <si>
    <t>46857-000-1C-001-SGS</t>
  </si>
  <si>
    <t>POHK-26-11120</t>
  </si>
  <si>
    <t>XSDD000529</t>
  </si>
  <si>
    <t>1000147397</t>
  </si>
  <si>
    <t>POHK-26-11121</t>
  </si>
  <si>
    <t>XSDD000530</t>
  </si>
  <si>
    <t>POHK-26-11122</t>
  </si>
  <si>
    <t>XSDD000531</t>
  </si>
  <si>
    <t>1000147402</t>
  </si>
  <si>
    <t>POHK-26-11123</t>
  </si>
  <si>
    <t>XSDD000532</t>
  </si>
  <si>
    <t>1000147401</t>
  </si>
  <si>
    <t>POHK-26-11124</t>
  </si>
  <si>
    <t>XSDD000533</t>
  </si>
  <si>
    <t>1000147395</t>
  </si>
  <si>
    <t>POHK-26-11125</t>
  </si>
  <si>
    <t>XSDD000534</t>
  </si>
  <si>
    <t>1000147408</t>
  </si>
  <si>
    <t>POHK-26-05036</t>
  </si>
  <si>
    <t>XSDD000551</t>
  </si>
  <si>
    <t>7000995356</t>
  </si>
  <si>
    <t>POHK-26-05027</t>
  </si>
  <si>
    <t>XSDD000561</t>
  </si>
  <si>
    <t>7000994513</t>
  </si>
  <si>
    <t>POHK-26-04382</t>
  </si>
  <si>
    <t>XSDD000471</t>
  </si>
  <si>
    <t>0984878366</t>
  </si>
  <si>
    <t>POHK-26-04383</t>
  </si>
  <si>
    <t>XSDD000472</t>
  </si>
  <si>
    <t>2026/7/8验1320，
7/14验600</t>
  </si>
  <si>
    <t>7/10送1320，7/17送600，交清</t>
  </si>
  <si>
    <t>0984878389</t>
  </si>
  <si>
    <t>POHK-26-04384</t>
  </si>
  <si>
    <t>XSDD000473</t>
  </si>
  <si>
    <t>0984878445</t>
  </si>
  <si>
    <t>POHK-26-04385</t>
  </si>
  <si>
    <t>XSDD000474</t>
  </si>
  <si>
    <t>0984878513</t>
  </si>
  <si>
    <t>POHK-26-04379</t>
  </si>
  <si>
    <t>XSDD000475</t>
  </si>
  <si>
    <t>0984878304</t>
  </si>
  <si>
    <t>POHK-26-04380</t>
  </si>
  <si>
    <t>XSDD000476</t>
  </si>
  <si>
    <t>0984878313</t>
  </si>
  <si>
    <t>POHK-26-04381</t>
  </si>
  <si>
    <t>XSDD000477</t>
  </si>
  <si>
    <t>0984878326</t>
  </si>
  <si>
    <t>7/14验46857+46897</t>
  </si>
  <si>
    <t>6/6送840，7/17送4080，交清</t>
  </si>
  <si>
    <t>46857-000-1A-004-SWG
46862-000-1A-004-SWG
46897-000-1A-004-SWG</t>
  </si>
  <si>
    <t>POHK-26-05037</t>
  </si>
  <si>
    <t>XSDD000552</t>
  </si>
  <si>
    <t>7000995357</t>
  </si>
  <si>
    <r>
      <rPr>
        <sz val="9"/>
        <rFont val="宋体"/>
        <charset val="134"/>
      </rPr>
      <t xml:space="preserve">POHK-26-13455
</t>
    </r>
    <r>
      <rPr>
        <sz val="9"/>
        <color rgb="FFFF0000"/>
        <rFont val="宋体"/>
        <charset val="134"/>
      </rPr>
      <t>6/25取消订单</t>
    </r>
  </si>
  <si>
    <t>XSDD000664</t>
  </si>
  <si>
    <t>6/25订单取消</t>
  </si>
  <si>
    <t>2633639</t>
  </si>
  <si>
    <r>
      <rPr>
        <sz val="9"/>
        <rFont val="宋体"/>
        <charset val="134"/>
      </rPr>
      <t xml:space="preserve">POHK-26-13457
</t>
    </r>
    <r>
      <rPr>
        <sz val="9"/>
        <color rgb="FFFF0000"/>
        <rFont val="宋体"/>
        <charset val="134"/>
      </rPr>
      <t>6/25取消订单</t>
    </r>
  </si>
  <si>
    <t>XSDD000663</t>
  </si>
  <si>
    <t>POHK-26-13262</t>
  </si>
  <si>
    <t>XSDD000645</t>
  </si>
  <si>
    <t>2627774</t>
  </si>
  <si>
    <t>POHK-26-06250</t>
  </si>
  <si>
    <t>XSDD000535</t>
  </si>
  <si>
    <t>117405874</t>
  </si>
  <si>
    <t>46862-999-01-000-000
46857-999-01-000-002</t>
  </si>
  <si>
    <t>POHK-26-05029</t>
  </si>
  <si>
    <t>XSDD000562</t>
  </si>
  <si>
    <t>7000994514</t>
  </si>
  <si>
    <t>POHK-26-04389</t>
  </si>
  <si>
    <t>XSDD000496</t>
  </si>
  <si>
    <t>0984878349</t>
  </si>
  <si>
    <t>POHK-26-04390</t>
  </si>
  <si>
    <t>XSDD000495</t>
  </si>
  <si>
    <t>0984878356</t>
  </si>
  <si>
    <t>POHK-26-04391</t>
  </si>
  <si>
    <t>XSDD000498</t>
  </si>
  <si>
    <t>0984878388</t>
  </si>
  <si>
    <t>POHK-26-04392</t>
  </si>
  <si>
    <t>XSDD000497</t>
  </si>
  <si>
    <t>0984878480</t>
  </si>
  <si>
    <t>POHK-26-04386</t>
  </si>
  <si>
    <t>XSDD000494</t>
  </si>
  <si>
    <t>0984878273</t>
  </si>
  <si>
    <t>POHK-26-04387</t>
  </si>
  <si>
    <t>XSDD000492</t>
  </si>
  <si>
    <t>0984878312</t>
  </si>
  <si>
    <t>POHK-26-04388</t>
  </si>
  <si>
    <t>XSDD000493</t>
  </si>
  <si>
    <t>0984878327</t>
  </si>
  <si>
    <t>THE VERY UK</t>
  </si>
  <si>
    <t>POHK-26-15048</t>
  </si>
  <si>
    <t>XSDD000811</t>
  </si>
  <si>
    <t>334506</t>
  </si>
  <si>
    <t>46886-TUV-1B-002-SBM
46886-999-01-000-001</t>
  </si>
  <si>
    <t>Neco Toys</t>
  </si>
  <si>
    <t>POHK-26-09200</t>
  </si>
  <si>
    <t>XSDD000652</t>
  </si>
  <si>
    <t>NECO_260605</t>
  </si>
  <si>
    <t>POHK-26-08244</t>
  </si>
  <si>
    <t>XSDD000319</t>
  </si>
  <si>
    <t>16303878</t>
  </si>
  <si>
    <t>POHK-26-08245</t>
  </si>
  <si>
    <t>XSDD000318</t>
  </si>
  <si>
    <t>16303887</t>
  </si>
  <si>
    <t>POHK-26-04393</t>
  </si>
  <si>
    <t>XSDD000503</t>
  </si>
  <si>
    <t>0984878308</t>
  </si>
  <si>
    <t>POHK-26-04394</t>
  </si>
  <si>
    <t>XSDD000504</t>
  </si>
  <si>
    <t>0984878341</t>
  </si>
  <si>
    <t>POHK-26-04395</t>
  </si>
  <si>
    <t>XSDD000505</t>
  </si>
  <si>
    <t>0984878358</t>
  </si>
  <si>
    <t>POHK-26-04396</t>
  </si>
  <si>
    <t>XSDD000499</t>
  </si>
  <si>
    <t>0984878387</t>
  </si>
  <si>
    <t>POHK-26-04397</t>
  </si>
  <si>
    <t>XSDD000500</t>
  </si>
  <si>
    <t>0984878407</t>
  </si>
  <si>
    <t>POHK-26-04398</t>
  </si>
  <si>
    <t>XSDD000501</t>
  </si>
  <si>
    <t>0984878444</t>
  </si>
  <si>
    <t>POHK-26-04399</t>
  </si>
  <si>
    <t>XSDD000502</t>
  </si>
  <si>
    <t>0984878463</t>
  </si>
  <si>
    <t>46862-000-1A-004-SWG
46857-999-01-000-002
46897-999-01-000-001</t>
  </si>
  <si>
    <t>POHK-26-15049</t>
  </si>
  <si>
    <t>XSDD000813</t>
  </si>
  <si>
    <t>325166</t>
  </si>
  <si>
    <t>46913-TUV-1B-002-SBM
46913-999-01-000-001</t>
  </si>
  <si>
    <t xml:space="preserve">Big W </t>
  </si>
  <si>
    <t>POHK-26-15833</t>
  </si>
  <si>
    <t>XSDD000754</t>
  </si>
  <si>
    <t>47968353</t>
  </si>
  <si>
    <t>46860-000-1A-004-SWG
46857-999-01-000-002
46897-999-01-000-001</t>
  </si>
  <si>
    <t>POHK-26-15794</t>
  </si>
  <si>
    <t>XSDD000755</t>
  </si>
  <si>
    <t>47968352</t>
  </si>
  <si>
    <t>POHK-26-15762</t>
  </si>
  <si>
    <t>XSDD000756</t>
  </si>
  <si>
    <t>47968351</t>
  </si>
  <si>
    <t>POHK-26-15750</t>
  </si>
  <si>
    <t>XSDD000757</t>
  </si>
  <si>
    <t>47968350</t>
  </si>
  <si>
    <t>POHK-26-13264</t>
  </si>
  <si>
    <t>XSDD000905</t>
  </si>
  <si>
    <t>2627768</t>
  </si>
  <si>
    <t>POHK-26-18149</t>
  </si>
  <si>
    <t>XSDD000972</t>
  </si>
  <si>
    <t>0106913496</t>
  </si>
  <si>
    <t>46897-000-1C-001-SGS
46897-999-01-000-001</t>
  </si>
  <si>
    <t>33475MA26017</t>
  </si>
  <si>
    <t>POHK-26-18150</t>
  </si>
  <si>
    <t>XSDD000973</t>
  </si>
  <si>
    <t>0106913497</t>
  </si>
  <si>
    <t>POHK-26-18151</t>
  </si>
  <si>
    <t>XSDD000974</t>
  </si>
  <si>
    <t>0106913499</t>
  </si>
  <si>
    <t>POHK-26-18152</t>
  </si>
  <si>
    <t>XSDD000975</t>
  </si>
  <si>
    <t>0106913502</t>
  </si>
  <si>
    <t>POHK-26-18153</t>
  </si>
  <si>
    <t>XSDD000976</t>
  </si>
  <si>
    <t>0106913504</t>
  </si>
  <si>
    <t>POHK-26-18154</t>
  </si>
  <si>
    <t>XSDD000977</t>
  </si>
  <si>
    <t>0106913509</t>
  </si>
  <si>
    <t>POHK-26-18155</t>
  </si>
  <si>
    <t>XSDD000978</t>
  </si>
  <si>
    <t>0106913551</t>
  </si>
  <si>
    <t>Amazon domestic</t>
  </si>
  <si>
    <t>POHK-26-17798</t>
  </si>
  <si>
    <t>XSDD000997</t>
  </si>
  <si>
    <t>6948-R0-AMZ</t>
  </si>
  <si>
    <t>46912-000-1A-004-SWG</t>
  </si>
  <si>
    <t>33475MA26016</t>
  </si>
  <si>
    <t>POHK-26-17877</t>
  </si>
  <si>
    <t>XSDD000980</t>
  </si>
  <si>
    <t>9/7订</t>
  </si>
  <si>
    <t>50002495</t>
  </si>
  <si>
    <t>33475MA26019</t>
  </si>
  <si>
    <t>Nick</t>
  </si>
  <si>
    <t>POHK-26-18739</t>
  </si>
  <si>
    <t>XSDD000999</t>
  </si>
  <si>
    <t>9/11订</t>
  </si>
  <si>
    <t>0109005600</t>
  </si>
  <si>
    <t>33475MA26020</t>
  </si>
  <si>
    <t>FO00000248</t>
  </si>
  <si>
    <t>JPEU</t>
  </si>
  <si>
    <t>00252-R0-POL</t>
  </si>
  <si>
    <t>00258-R0-POL</t>
  </si>
  <si>
    <t>00242-R0-FRA</t>
  </si>
  <si>
    <t>胶袋库存余数</t>
  </si>
  <si>
    <t>5/7订紫色
20.2K</t>
  </si>
  <si>
    <t>5/7订蓝色
27K</t>
  </si>
  <si>
    <t>5/30订蓝色
48.3K</t>
  </si>
  <si>
    <t>5/30订紫色
17.9K</t>
  </si>
  <si>
    <t>6/26订绿色
6.5K</t>
  </si>
  <si>
    <t>7/17订蓝色
7K</t>
  </si>
  <si>
    <t>7/20订紫色（46912）
3.5K</t>
  </si>
  <si>
    <t>8/21订 维尼熊蓝色 2905C
1.35K</t>
  </si>
  <si>
    <t>实际送1380个</t>
  </si>
  <si>
    <t>8/31订紫色
15.8K</t>
  </si>
  <si>
    <t>9/9订 维尼熊蓝色 2905C
4.5K</t>
  </si>
  <si>
    <t>8/31订紫色
5K</t>
  </si>
  <si>
    <t>2026年  #12772  迪士尼小鸭系列5款订单汇总表</t>
  </si>
  <si>
    <t>12773(JP33481)
牛仔</t>
  </si>
  <si>
    <t>12774(JP33478)
巴斯</t>
  </si>
  <si>
    <t>12775(JP33479)三眼外星人</t>
  </si>
  <si>
    <t>11827(JP33738)
牛女</t>
  </si>
  <si>
    <t>13565(JP33480)
草莓熊</t>
  </si>
  <si>
    <t>Target Stores</t>
  </si>
  <si>
    <t>Sara</t>
  </si>
  <si>
    <t>POHK-25-01325</t>
  </si>
  <si>
    <t>XSDD000046</t>
  </si>
  <si>
    <t>1/30下四川</t>
  </si>
  <si>
    <t>1PC/吊牌，15PCS/胶袋，3袋=45PCS/外箱+贴纸</t>
  </si>
  <si>
    <t>10001618983-3891</t>
  </si>
  <si>
    <t>12772-000-1A045HT0TT</t>
  </si>
  <si>
    <t>POHK-25-01327</t>
  </si>
  <si>
    <t>XSDD000044</t>
  </si>
  <si>
    <t>10001618986-3891</t>
  </si>
  <si>
    <t>POHK-25-01324</t>
  </si>
  <si>
    <t>XSDD000047</t>
  </si>
  <si>
    <t>10001618982-0581</t>
  </si>
  <si>
    <t>POHK-25-01326</t>
  </si>
  <si>
    <t>XSDD000045</t>
  </si>
  <si>
    <t>10001618985-0581</t>
  </si>
  <si>
    <t>2026年  #33735 小鸭系列5款订单汇总表</t>
  </si>
  <si>
    <t>吊牌
PDQ</t>
  </si>
  <si>
    <t>JPLLC(CVS)</t>
  </si>
  <si>
    <t>POHK-25-21147</t>
  </si>
  <si>
    <t>12/17
四川</t>
  </si>
  <si>
    <t>1PC/吊牌，12PCS/PDQ/外箱</t>
  </si>
  <si>
    <t>6791-R0-CVS</t>
  </si>
  <si>
    <t>33735-000-1D-012-HTD</t>
  </si>
  <si>
    <t>Michaels</t>
  </si>
  <si>
    <t>POHK-26-00393</t>
  </si>
  <si>
    <t>XSDD000015</t>
  </si>
  <si>
    <t>1/9下四川</t>
  </si>
  <si>
    <t>33735-000-1C-018-HTD</t>
  </si>
  <si>
    <t>POHK-26-00394</t>
  </si>
  <si>
    <t>POHK-26-00395</t>
  </si>
  <si>
    <t>POHK-26-00396</t>
  </si>
  <si>
    <t>POHK-26-00397</t>
  </si>
  <si>
    <t>POHK-26-00398</t>
  </si>
  <si>
    <t>POHK-26-00399</t>
  </si>
  <si>
    <t>POHK-25-21288</t>
  </si>
  <si>
    <t>XSDD000072</t>
  </si>
  <si>
    <t>1/6下四川</t>
  </si>
  <si>
    <t>1PC/吊牌+条形码贴纸，18PCS/PDQ/内箱，2PC内箱=36PCS/外箱</t>
  </si>
  <si>
    <t>6792-R0-L2P</t>
  </si>
  <si>
    <t>33630-L2P-1B-036-HTD</t>
  </si>
  <si>
    <t>出货样3个完整PDQ，10个空白PDQ不折平放</t>
  </si>
  <si>
    <t>1PC/吊牌+条形码贴纸，18PCS/PDQ/内箱</t>
  </si>
  <si>
    <t>Chile</t>
  </si>
  <si>
    <t>POHK-26-01138</t>
  </si>
  <si>
    <t>XSDD000091</t>
  </si>
  <si>
    <t>4/9运输
2026/4/10</t>
  </si>
  <si>
    <t>客到四川工厂提货</t>
  </si>
  <si>
    <t>33735-000-1A-018-HTD</t>
  </si>
  <si>
    <t>MA26003</t>
  </si>
  <si>
    <t>JPLLC (JCP)</t>
  </si>
  <si>
    <t>7/10通知取消订单</t>
  </si>
  <si>
    <t>6943-R0-JCP</t>
  </si>
  <si>
    <t>33735-000-1F-018-HT0</t>
  </si>
  <si>
    <t>MA26004,未投产</t>
  </si>
  <si>
    <t>2026年#33465 W1+W2+W3+W4+W5+W6 小搪胶鸭子系列订单汇总表</t>
  </si>
  <si>
    <t>产品
日期码</t>
  </si>
  <si>
    <t>PDQ</t>
  </si>
  <si>
    <t>包装
日期码</t>
  </si>
  <si>
    <t>MA号</t>
  </si>
  <si>
    <t>袋数</t>
  </si>
  <si>
    <t>W5</t>
  </si>
  <si>
    <t>W6</t>
  </si>
  <si>
    <t>#33576</t>
  </si>
  <si>
    <t>#33577</t>
  </si>
  <si>
    <t>#33578</t>
  </si>
  <si>
    <t>#33469</t>
  </si>
  <si>
    <t>#33464</t>
  </si>
  <si>
    <t>#33466</t>
  </si>
  <si>
    <t>#33467</t>
  </si>
  <si>
    <t>#33579</t>
  </si>
  <si>
    <t>#33581</t>
  </si>
  <si>
    <t>#33582</t>
  </si>
  <si>
    <t>#33583</t>
  </si>
  <si>
    <t>#33584</t>
  </si>
  <si>
    <t>#33586</t>
  </si>
  <si>
    <t>#33587</t>
  </si>
  <si>
    <t>#33588</t>
  </si>
  <si>
    <t>#33589</t>
  </si>
  <si>
    <t>#33476
 天使</t>
  </si>
  <si>
    <r>
      <rPr>
        <sz val="9"/>
        <rFont val="宋体"/>
        <charset val="134"/>
      </rPr>
      <t xml:space="preserve">#33477 
</t>
    </r>
    <r>
      <rPr>
        <sz val="8"/>
        <rFont val="宋体"/>
        <charset val="134"/>
      </rPr>
      <t>外星史迪仔</t>
    </r>
  </si>
  <si>
    <t>#33486
 莫阿娜</t>
  </si>
  <si>
    <t>#33538
 普亚猪</t>
  </si>
  <si>
    <t>#33493
 史力加</t>
  </si>
  <si>
    <t>#33494
 灰驴</t>
  </si>
  <si>
    <t>33482
铁钩船厂</t>
  </si>
  <si>
    <t>33507
大黄蜂</t>
  </si>
  <si>
    <t>2735KTY01
只打黄色款</t>
  </si>
  <si>
    <t>2PC/头卡/胶袋，12袋/PDQ+进口商贴纸/箱</t>
  </si>
  <si>
    <t>POHK-25-18010</t>
  </si>
  <si>
    <t>9/28订</t>
  </si>
  <si>
    <t>9/28
四川</t>
  </si>
  <si>
    <t>10% inline 11/17</t>
  </si>
  <si>
    <t>8150970735</t>
  </si>
  <si>
    <t>33465-000-4B-012-HDQ</t>
  </si>
  <si>
    <t>POHK-25-18013</t>
  </si>
  <si>
    <t>8150972745</t>
  </si>
  <si>
    <t>POHK-25-18006</t>
  </si>
  <si>
    <t>3525KTY01
只打黄色款</t>
  </si>
  <si>
    <t>11/26订</t>
  </si>
  <si>
    <t>12/19下四川</t>
  </si>
  <si>
    <t>2PC/头卡/胶袋，12袋/PDQ/箱</t>
  </si>
  <si>
    <t>2026/1/31
2026/2/2，交清</t>
  </si>
  <si>
    <t>8150972746</t>
  </si>
  <si>
    <t>33465-000-5B-012-HDQ</t>
  </si>
  <si>
    <t>POHK-25-21145</t>
  </si>
  <si>
    <t>3635KTY01
只打黄色款</t>
  </si>
  <si>
    <t>1/2到</t>
  </si>
  <si>
    <t>2PC/头卡/胶袋，24袋/箱</t>
  </si>
  <si>
    <t>6789-R1-CVS</t>
  </si>
  <si>
    <t>33465-000-1K-024-HC1</t>
  </si>
  <si>
    <t>POHK-25-18007</t>
  </si>
  <si>
    <t>XSDD000037</t>
  </si>
  <si>
    <t>0086KTY01
只打黄色款</t>
  </si>
  <si>
    <t>1/20到</t>
  </si>
  <si>
    <t>1/16下四川</t>
  </si>
  <si>
    <t>0086KTY01</t>
  </si>
  <si>
    <t>10% inline 1/27</t>
  </si>
  <si>
    <t>8150972747</t>
  </si>
  <si>
    <t>33465-000-6B-012-HDQ</t>
  </si>
  <si>
    <t>Tiffany</t>
  </si>
  <si>
    <t>POHK-25-18823</t>
  </si>
  <si>
    <t>XSDD000024</t>
  </si>
  <si>
    <t>0576KTY01只打黄色款</t>
  </si>
  <si>
    <t>1/27到</t>
  </si>
  <si>
    <t>1/17下四川</t>
  </si>
  <si>
    <t>2PC/头卡/胶袋+RFID，12袋/PDQ/箱,90箱/卡板/滑片纸+贴纸</t>
  </si>
  <si>
    <t>0953860534</t>
  </si>
  <si>
    <t>33465-000-5A-012-HQT</t>
  </si>
  <si>
    <t>POHK-25-18824</t>
  </si>
  <si>
    <t>0953860538</t>
  </si>
  <si>
    <t>POHK-25-18825</t>
  </si>
  <si>
    <t>0953860579</t>
  </si>
  <si>
    <t>POHK-25-20199</t>
  </si>
  <si>
    <t>0956888522</t>
  </si>
  <si>
    <t>POHK-25-20200</t>
  </si>
  <si>
    <t>0956888528</t>
  </si>
  <si>
    <t>POHK-25-20201</t>
  </si>
  <si>
    <t>0956888531</t>
  </si>
  <si>
    <t>POHK-25-20202</t>
  </si>
  <si>
    <t>0956888532</t>
  </si>
  <si>
    <t>POHK-25-20203</t>
  </si>
  <si>
    <t>0956888540</t>
  </si>
  <si>
    <t>POHK-25-21129</t>
  </si>
  <si>
    <t>0960268392</t>
  </si>
  <si>
    <t>POHK-25-21130</t>
  </si>
  <si>
    <t>0960268401</t>
  </si>
  <si>
    <t>POHK-25-21131</t>
  </si>
  <si>
    <t>0960268407</t>
  </si>
  <si>
    <t>POHK-25-21353</t>
  </si>
  <si>
    <t>2/10到</t>
  </si>
  <si>
    <t>10%抽样在3/6</t>
  </si>
  <si>
    <t>0963286923</t>
  </si>
  <si>
    <t>33465-000-6A-012-HQT</t>
  </si>
  <si>
    <t>POHK-25-21354</t>
  </si>
  <si>
    <t>0963286934</t>
  </si>
  <si>
    <t>POHK-25-21355</t>
  </si>
  <si>
    <t>0963286937</t>
  </si>
  <si>
    <t>POHK-25-21356</t>
  </si>
  <si>
    <t>0963286939</t>
  </si>
  <si>
    <t>POHK-25-21357</t>
  </si>
  <si>
    <t>0963286940</t>
  </si>
  <si>
    <t>POHK-25-21358</t>
  </si>
  <si>
    <t>0963286957</t>
  </si>
  <si>
    <t>CVS Domestic</t>
  </si>
  <si>
    <t>POHK-26-01832</t>
  </si>
  <si>
    <t>XSDD000106</t>
  </si>
  <si>
    <t>0656KTY01只打黄色款</t>
  </si>
  <si>
    <t>6823-R0-CVS</t>
  </si>
  <si>
    <t>POHK-25-18008</t>
  </si>
  <si>
    <t>XSDD000036</t>
  </si>
  <si>
    <t>3-2到</t>
  </si>
  <si>
    <t>8150972748</t>
  </si>
  <si>
    <t>POHK-25-22181</t>
  </si>
  <si>
    <t>XSDD0001067</t>
  </si>
  <si>
    <t>0967479388</t>
  </si>
  <si>
    <t>POHK-25-22182</t>
  </si>
  <si>
    <t>XSDD000108</t>
  </si>
  <si>
    <t>0967479390</t>
  </si>
  <si>
    <t>POHK-25-22183</t>
  </si>
  <si>
    <t>XSDD000109</t>
  </si>
  <si>
    <t>0967479392</t>
  </si>
  <si>
    <t>POHK-25-22184</t>
  </si>
  <si>
    <t>XSDD000110</t>
  </si>
  <si>
    <t>0967479394</t>
  </si>
  <si>
    <t>POHK-25-22185</t>
  </si>
  <si>
    <t>XSDD000111</t>
  </si>
  <si>
    <t>0967479396</t>
  </si>
  <si>
    <t>POHK-26-01363</t>
  </si>
  <si>
    <t>XSDD000101</t>
  </si>
  <si>
    <t>0977162369</t>
  </si>
  <si>
    <t>POHK-26-01923</t>
  </si>
  <si>
    <t>XSDD000150</t>
  </si>
  <si>
    <t>0986KTY01
只打黄色款</t>
  </si>
  <si>
    <t>0979420160</t>
  </si>
  <si>
    <t>POHK-26-01924</t>
  </si>
  <si>
    <t>XSDD000149</t>
  </si>
  <si>
    <t>0979420301</t>
  </si>
  <si>
    <t>POHK-26-01925</t>
  </si>
  <si>
    <t>XSDD000148</t>
  </si>
  <si>
    <t>0979420446</t>
  </si>
  <si>
    <t>POHK-26-01926</t>
  </si>
  <si>
    <t>XSDD000147</t>
  </si>
  <si>
    <t>0979420482</t>
  </si>
  <si>
    <t>POHK-26-01927</t>
  </si>
  <si>
    <t>XSDD000153</t>
  </si>
  <si>
    <t>0979420509</t>
  </si>
  <si>
    <t>POHK-26-01928</t>
  </si>
  <si>
    <t>XSDD000152</t>
  </si>
  <si>
    <t>0979420524</t>
  </si>
  <si>
    <t>POHK-26-01929</t>
  </si>
  <si>
    <t>XSDD000151</t>
  </si>
  <si>
    <t>0979420586</t>
  </si>
  <si>
    <t>POHK-26-02896</t>
  </si>
  <si>
    <t>XSDD000189</t>
  </si>
  <si>
    <t>0983178426</t>
  </si>
  <si>
    <t>POHK-26-02898</t>
  </si>
  <si>
    <t>XSDD000188</t>
  </si>
  <si>
    <t>0983178430</t>
  </si>
  <si>
    <t>POHK-26-02899</t>
  </si>
  <si>
    <t>XSDD000187</t>
  </si>
  <si>
    <t>0983178435</t>
  </si>
  <si>
    <t>POHK-26-02900</t>
  </si>
  <si>
    <t>XSDD000186</t>
  </si>
  <si>
    <t>0983178439</t>
  </si>
  <si>
    <t>POHK-26-02901</t>
  </si>
  <si>
    <t>XSDD000185</t>
  </si>
  <si>
    <t>0983178436</t>
  </si>
  <si>
    <t>POHK-26-04712</t>
  </si>
  <si>
    <t>XSDD000208</t>
  </si>
  <si>
    <t>1286KTY01
只打黄色款</t>
  </si>
  <si>
    <t>4/6下</t>
  </si>
  <si>
    <t>4/6订</t>
  </si>
  <si>
    <t>4/23下</t>
  </si>
  <si>
    <t>1286KTY01</t>
  </si>
  <si>
    <t xml:space="preserve"> 0986503972</t>
  </si>
  <si>
    <t xml:space="preserve"> 33465-000-6A-012-HQT</t>
  </si>
  <si>
    <t>POHK-26-04713</t>
  </si>
  <si>
    <t>XSDD000207</t>
  </si>
  <si>
    <t xml:space="preserve"> 0986503975</t>
  </si>
  <si>
    <t>POHK-26-04714</t>
  </si>
  <si>
    <t>XSDD000206</t>
  </si>
  <si>
    <t xml:space="preserve"> 0986503976</t>
  </si>
  <si>
    <t>POHK-26-04715</t>
  </si>
  <si>
    <t>XSDD000205</t>
  </si>
  <si>
    <t xml:space="preserve"> 0986503977</t>
  </si>
  <si>
    <t>POHK-26-04716</t>
  </si>
  <si>
    <t>XSDD000204</t>
  </si>
  <si>
    <t>0986503978</t>
  </si>
  <si>
    <t>POHK-26-05234</t>
  </si>
  <si>
    <t>XSDD000268</t>
  </si>
  <si>
    <t>0988401350</t>
  </si>
  <si>
    <t>POHK-26-05235</t>
  </si>
  <si>
    <t>XSDD000269</t>
  </si>
  <si>
    <t>0988401344</t>
  </si>
  <si>
    <t>POHK-26-05236</t>
  </si>
  <si>
    <t>XSDD000270</t>
  </si>
  <si>
    <t>0988401358</t>
  </si>
  <si>
    <t>POHK-26-05237</t>
  </si>
  <si>
    <t>XSDD000271</t>
  </si>
  <si>
    <t>0988401354</t>
  </si>
  <si>
    <t>POHK-26-05238</t>
  </si>
  <si>
    <t>XSDD000272</t>
  </si>
  <si>
    <t>0988401341</t>
  </si>
  <si>
    <t>POHK-26-05239</t>
  </si>
  <si>
    <t>XSDD000273</t>
  </si>
  <si>
    <t>0988401353</t>
  </si>
  <si>
    <t>POHK-26-05240</t>
  </si>
  <si>
    <t>XSDD000274</t>
  </si>
  <si>
    <t>0988401352</t>
  </si>
  <si>
    <t>POHK-26-10938</t>
  </si>
  <si>
    <t>XSDD000576</t>
  </si>
  <si>
    <t>1486KTY01
只打黄色款</t>
  </si>
  <si>
    <t>5/27下</t>
  </si>
  <si>
    <t xml:space="preserve"> 6895-R0-CVS</t>
  </si>
  <si>
    <t>JP UK</t>
  </si>
  <si>
    <t>POHK-26-12031</t>
  </si>
  <si>
    <t>XSDD000509</t>
  </si>
  <si>
    <t>6/1下</t>
  </si>
  <si>
    <t>5/30订</t>
  </si>
  <si>
    <t>1PC/半圆贴纸，2PC/头卡+进口商贴纸/胶袋，12袋/PDQ/箱</t>
  </si>
  <si>
    <t>00106-R0-UK</t>
  </si>
  <si>
    <t>33465-000-3B-012-HDQ</t>
  </si>
  <si>
    <t>POHK-26-10294</t>
  </si>
  <si>
    <t>XSDD000684</t>
  </si>
  <si>
    <t>6/25下</t>
  </si>
  <si>
    <t>0996634770</t>
  </si>
  <si>
    <t>POHK-26-10297</t>
  </si>
  <si>
    <t>XSDD000683</t>
  </si>
  <si>
    <t>0996634781</t>
  </si>
  <si>
    <t>POHK-26-10293</t>
  </si>
  <si>
    <t>XSDD000681</t>
  </si>
  <si>
    <t>0996634765</t>
  </si>
  <si>
    <t>POHK-26-10296</t>
  </si>
  <si>
    <t>XSDD000685</t>
  </si>
  <si>
    <t>0996634780</t>
  </si>
  <si>
    <t>POHK-26-09154</t>
  </si>
  <si>
    <t>XSDD000361</t>
  </si>
  <si>
    <t>0993059954</t>
  </si>
  <si>
    <t>POHK-26-09153</t>
  </si>
  <si>
    <t>XSDD000362</t>
  </si>
  <si>
    <t>0993059947</t>
  </si>
  <si>
    <t>POHK-26-10295</t>
  </si>
  <si>
    <t>XSDD000686</t>
  </si>
  <si>
    <t>0996634773</t>
  </si>
  <si>
    <t>POHK-26-11480</t>
  </si>
  <si>
    <t>XSDD000714</t>
  </si>
  <si>
    <t>7/4订</t>
  </si>
  <si>
    <t>2PC/头卡/胶袋+RFID，12袋/PDQ/箱
(7/20更新出货方式)</t>
  </si>
  <si>
    <t>0999644005</t>
  </si>
  <si>
    <t>POHK-26-11481</t>
  </si>
  <si>
    <t>XSDD000715</t>
  </si>
  <si>
    <t>0999644009</t>
  </si>
  <si>
    <t>POHK-26-11484</t>
  </si>
  <si>
    <t>XSDD000718</t>
  </si>
  <si>
    <t>0999643956</t>
  </si>
  <si>
    <t>POHK-26-11485</t>
  </si>
  <si>
    <t>XSDD000719</t>
  </si>
  <si>
    <t>0999643933</t>
  </si>
  <si>
    <t>POHK-26-11487</t>
  </si>
  <si>
    <t>XSDD000721</t>
  </si>
  <si>
    <t>0999647958</t>
  </si>
  <si>
    <t>POHK-26-10292</t>
  </si>
  <si>
    <t>XSDD000682</t>
  </si>
  <si>
    <t>0996634762</t>
  </si>
  <si>
    <t>POHK-26-11508</t>
  </si>
  <si>
    <t>XSDD000742</t>
  </si>
  <si>
    <t>2PC/头卡/胶袋+RFID，12袋/PDQ/箱</t>
  </si>
  <si>
    <t>0999647860</t>
  </si>
  <si>
    <t>POHK-26-11479</t>
  </si>
  <si>
    <t>XSDD000713</t>
  </si>
  <si>
    <t>0999643966</t>
  </si>
  <si>
    <t>POHK-26-11493</t>
  </si>
  <si>
    <t>XSDD000727</t>
  </si>
  <si>
    <t>0999647649</t>
  </si>
  <si>
    <t>POHK-26-11494</t>
  </si>
  <si>
    <t>XSDD000728</t>
  </si>
  <si>
    <t>0999647755</t>
  </si>
  <si>
    <t>POHK-26-11495</t>
  </si>
  <si>
    <t>XSDD000729</t>
  </si>
  <si>
    <t>0999647761</t>
  </si>
  <si>
    <t>POHK-26-11497</t>
  </si>
  <si>
    <t>XSDD000731</t>
  </si>
  <si>
    <t>0999647943</t>
  </si>
  <si>
    <t>POHK-26-11498</t>
  </si>
  <si>
    <t>XSDD000732</t>
  </si>
  <si>
    <t>0999648170</t>
  </si>
  <si>
    <t>POHK-26-11500</t>
  </si>
  <si>
    <t>XSDD000734</t>
  </si>
  <si>
    <t>0999644053</t>
  </si>
  <si>
    <t>POHK-26-11510</t>
  </si>
  <si>
    <t>XSDD000744</t>
  </si>
  <si>
    <t>0999644278</t>
  </si>
  <si>
    <t>POHK-26-11491</t>
  </si>
  <si>
    <t>XSDD000725</t>
  </si>
  <si>
    <t>0999644387</t>
  </si>
  <si>
    <t>POHK-26-11492</t>
  </si>
  <si>
    <t>XSDD000726</t>
  </si>
  <si>
    <t>0999643650</t>
  </si>
  <si>
    <t>POHK-26-11499</t>
  </si>
  <si>
    <t>XSDD000733</t>
  </si>
  <si>
    <t>0999643680</t>
  </si>
  <si>
    <t>POHK-26-11501</t>
  </si>
  <si>
    <t>XSDD000735</t>
  </si>
  <si>
    <t>0999644094</t>
  </si>
  <si>
    <t>POHK-26-11502</t>
  </si>
  <si>
    <t>XSDD000736</t>
  </si>
  <si>
    <t>0999647773</t>
  </si>
  <si>
    <t>POHK-26-11504</t>
  </si>
  <si>
    <t>XSDD000738</t>
  </si>
  <si>
    <t>0999648572</t>
  </si>
  <si>
    <t>POHK-26-11505</t>
  </si>
  <si>
    <t>XSDD000739</t>
  </si>
  <si>
    <t>0999643697</t>
  </si>
  <si>
    <t>POHK-26-11509</t>
  </si>
  <si>
    <t>XSDD000743</t>
  </si>
  <si>
    <t>0999648335</t>
  </si>
  <si>
    <t>POHK-26-11496</t>
  </si>
  <si>
    <t>XSDD000730</t>
  </si>
  <si>
    <t>0999647799</t>
  </si>
  <si>
    <t>POHK-26-11506</t>
  </si>
  <si>
    <t>XSDD000740</t>
  </si>
  <si>
    <t>9/1验，3号交仓</t>
  </si>
  <si>
    <t>0999647579</t>
  </si>
  <si>
    <t>POHK-26-11482</t>
  </si>
  <si>
    <t>XSDD000716</t>
  </si>
  <si>
    <t>0999644028</t>
  </si>
  <si>
    <t>POHK-26-11488</t>
  </si>
  <si>
    <t>XSDD000722</t>
  </si>
  <si>
    <t>0999648005</t>
  </si>
  <si>
    <t>POHK-26-11489</t>
  </si>
  <si>
    <t>XSDD000723</t>
  </si>
  <si>
    <t>0999643905</t>
  </si>
  <si>
    <t>POHK-26-11483</t>
  </si>
  <si>
    <t>XSDD000717</t>
  </si>
  <si>
    <t>0999644238</t>
  </si>
  <si>
    <t>POHK-26-11486</t>
  </si>
  <si>
    <t>XSDD000720</t>
  </si>
  <si>
    <t>0999644159</t>
  </si>
  <si>
    <t>POHK-26-11490</t>
  </si>
  <si>
    <t>XSDD000724</t>
  </si>
  <si>
    <t>0999643885</t>
  </si>
  <si>
    <t>POHK-26-11503</t>
  </si>
  <si>
    <t>XSDD000737</t>
  </si>
  <si>
    <t>0999647844</t>
  </si>
  <si>
    <t>POHK-26-11507</t>
  </si>
  <si>
    <t>XSDD000741</t>
  </si>
  <si>
    <t>0999647621</t>
  </si>
  <si>
    <t>POHK-26-11511</t>
  </si>
  <si>
    <t>XSDD000745</t>
  </si>
  <si>
    <t>0999648268</t>
  </si>
  <si>
    <t>POHK-26-11512</t>
  </si>
  <si>
    <t>XSDD000746</t>
  </si>
  <si>
    <t>0999648407</t>
  </si>
  <si>
    <t>POHK-26-13529</t>
  </si>
  <si>
    <t>XSDD000748</t>
  </si>
  <si>
    <t>1003587455</t>
  </si>
  <si>
    <t>POHK-26-14883</t>
  </si>
  <si>
    <t>XSDD000877</t>
  </si>
  <si>
    <t>1007875877</t>
  </si>
  <si>
    <t>POHK-26-14884</t>
  </si>
  <si>
    <t>XSDD000876</t>
  </si>
  <si>
    <t>1007876504</t>
  </si>
  <si>
    <t>POHK-26-14885</t>
  </si>
  <si>
    <t>XSDD000878</t>
  </si>
  <si>
    <t>1007876535</t>
  </si>
  <si>
    <t>POHK-26-14890</t>
  </si>
  <si>
    <t>XSDD000882</t>
  </si>
  <si>
    <t>1007876329</t>
  </si>
  <si>
    <t>POHK-26-14886</t>
  </si>
  <si>
    <t>XSDD000879</t>
  </si>
  <si>
    <t>1007875878</t>
  </si>
  <si>
    <t>POHK-26-14888</t>
  </si>
  <si>
    <t>XSDD000880</t>
  </si>
  <si>
    <t>1007875885</t>
  </si>
  <si>
    <t>POHK-26-14889</t>
  </si>
  <si>
    <t>XSDD000881</t>
  </si>
  <si>
    <t>1007876234</t>
  </si>
  <si>
    <t>POHK-26-14891</t>
  </si>
  <si>
    <t>XSDD000883</t>
  </si>
  <si>
    <t>1007875861</t>
  </si>
  <si>
    <t>SCHK-26-14893</t>
  </si>
  <si>
    <t>2160PCS与其它PO合并</t>
  </si>
  <si>
    <t>与其它PO合并数量</t>
  </si>
  <si>
    <t>SCHK-26-14892</t>
  </si>
  <si>
    <t>SCHK-26-14894</t>
  </si>
  <si>
    <t>SCHK-26-14895</t>
  </si>
  <si>
    <t>SCHK-26-14897</t>
  </si>
  <si>
    <t>POHK-26-14896</t>
  </si>
  <si>
    <t>XSDD000884</t>
  </si>
  <si>
    <t>1007876156</t>
  </si>
  <si>
    <t>POHK-26-14899</t>
  </si>
  <si>
    <t>XSDD000885</t>
  </si>
  <si>
    <t>1007876542</t>
  </si>
  <si>
    <t>POHK-26-14901</t>
  </si>
  <si>
    <t>XSDD000886</t>
  </si>
  <si>
    <t>1007876038</t>
  </si>
  <si>
    <t>POHK-26-14902</t>
  </si>
  <si>
    <t>XSDD000887</t>
  </si>
  <si>
    <t>1007876131</t>
  </si>
  <si>
    <t>POHK-26-14903</t>
  </si>
  <si>
    <t>XSDD000888</t>
  </si>
  <si>
    <t>1007876375</t>
  </si>
  <si>
    <t>SCHK-26-14905</t>
  </si>
  <si>
    <t>SCHK-26-14904</t>
  </si>
  <si>
    <t>SCHK-26-14906</t>
  </si>
  <si>
    <t>SCHK-26-14909</t>
  </si>
  <si>
    <t>SCHK-26-14907</t>
  </si>
  <si>
    <t>POHK-26-17138</t>
  </si>
  <si>
    <t>XSDD000898</t>
  </si>
  <si>
    <t>2466KTY01
只打黄色款</t>
  </si>
  <si>
    <t>8/21下</t>
  </si>
  <si>
    <t>9/8下</t>
  </si>
  <si>
    <r>
      <rPr>
        <sz val="9"/>
        <rFont val="宋体"/>
        <charset val="134"/>
      </rPr>
      <t>2PC/头卡</t>
    </r>
    <r>
      <rPr>
        <sz val="9"/>
        <color rgb="FFFF0000"/>
        <rFont val="宋体"/>
        <charset val="134"/>
      </rPr>
      <t>(印条码）</t>
    </r>
    <r>
      <rPr>
        <sz val="9"/>
        <rFont val="宋体"/>
        <charset val="134"/>
      </rPr>
      <t>/胶袋，24袋/箱</t>
    </r>
  </si>
  <si>
    <t>9/8约运输</t>
  </si>
  <si>
    <t>6967-R1-CVS</t>
  </si>
  <si>
    <t>33465-000-1L-024-HC1</t>
  </si>
  <si>
    <t>POHK-26-17663</t>
  </si>
  <si>
    <t>XSDD000958</t>
  </si>
  <si>
    <t>2866KTY01</t>
  </si>
  <si>
    <t>8/25订</t>
  </si>
  <si>
    <t>9/11下</t>
  </si>
  <si>
    <t>0102413613</t>
  </si>
  <si>
    <t>POHK-26-17664</t>
  </si>
  <si>
    <t>XSDD000959</t>
  </si>
  <si>
    <t>0102413608</t>
  </si>
  <si>
    <t>POHK-26-17665</t>
  </si>
  <si>
    <t>XSDD000960</t>
  </si>
  <si>
    <t>0102413606</t>
  </si>
  <si>
    <t>POHK-26-17666</t>
  </si>
  <si>
    <t>XSDD000961</t>
  </si>
  <si>
    <t>0102413603</t>
  </si>
  <si>
    <t>POHK-26-17667</t>
  </si>
  <si>
    <t>XSDD000962</t>
  </si>
  <si>
    <t>0102413602</t>
  </si>
  <si>
    <t>POHK-26-17669</t>
  </si>
  <si>
    <t>XSDD000963</t>
  </si>
  <si>
    <t>0102413601</t>
  </si>
  <si>
    <t>POHK-26-17970</t>
  </si>
  <si>
    <t>XSDD000965</t>
  </si>
  <si>
    <t>2956KTY01</t>
  </si>
  <si>
    <t>0105702971</t>
  </si>
  <si>
    <t>POHK-26-17972</t>
  </si>
  <si>
    <t>XSDD000966</t>
  </si>
  <si>
    <t>0105702973</t>
  </si>
  <si>
    <t>POHK-26-17973</t>
  </si>
  <si>
    <t>XSDD000967</t>
  </si>
  <si>
    <t>0105702979</t>
  </si>
  <si>
    <t>POHK-26-17974</t>
  </si>
  <si>
    <t>XSDD000968</t>
  </si>
  <si>
    <t>0105702982</t>
  </si>
  <si>
    <t>POHK-26-17975</t>
  </si>
  <si>
    <t>XSDD000969</t>
  </si>
  <si>
    <t>0105702986</t>
  </si>
  <si>
    <t>POHK-26-17976</t>
  </si>
  <si>
    <t>XSDD000970</t>
  </si>
  <si>
    <t>0105702988</t>
  </si>
  <si>
    <t>POHK-26-17977</t>
  </si>
  <si>
    <t>XSDD000971</t>
  </si>
  <si>
    <t>0105702989</t>
  </si>
  <si>
    <t>SCHK-26-18658</t>
  </si>
  <si>
    <t>DDD9/14</t>
  </si>
  <si>
    <t>0108978109</t>
  </si>
  <si>
    <t>SCHK-26-18659</t>
  </si>
  <si>
    <t>0108978106</t>
  </si>
  <si>
    <t>已下给四川</t>
  </si>
  <si>
    <t>2026年#33658 我爱纽约系列小搪胶鸭子系列订单汇总表</t>
  </si>
  <si>
    <t>33658-1
米奇</t>
  </si>
  <si>
    <t>33658-2
自由女神米妮</t>
  </si>
  <si>
    <t>POHK-26-03064</t>
  </si>
  <si>
    <t>XSDD000145</t>
  </si>
  <si>
    <t>每款各1个，2PCS/盒+条码贴纸，4盒/箱+贴纸+黄色胶带</t>
  </si>
  <si>
    <t>4/1运输
2026/4/17</t>
  </si>
  <si>
    <t>CG566</t>
  </si>
  <si>
    <t>33658-000-1B-004-WB0</t>
  </si>
  <si>
    <t>POHK-26-03065</t>
  </si>
  <si>
    <t>XSDD000146</t>
  </si>
  <si>
    <t>4/1下</t>
  </si>
  <si>
    <t>CG567</t>
  </si>
  <si>
    <t>POHK-26-03066</t>
  </si>
  <si>
    <t>XSDD000144</t>
  </si>
  <si>
    <t>FAC-116985-26210</t>
  </si>
  <si>
    <t>CG568</t>
  </si>
  <si>
    <t>POHK-26-17833</t>
  </si>
  <si>
    <t>XSDD001001</t>
  </si>
  <si>
    <t>CO037</t>
  </si>
  <si>
    <t>10月底再下单，彩盒不印条码</t>
  </si>
  <si>
    <t>2026年#33708 星战系列小搪胶鸭子系列订单汇总表</t>
  </si>
  <si>
    <t>MA#</t>
  </si>
  <si>
    <t>3/11订</t>
  </si>
  <si>
    <t>POHK-26-02126</t>
  </si>
  <si>
    <t>XSDD000275</t>
  </si>
  <si>
    <t>2PCS/盒+白色贴纸+条码贴纸，4盒/箱+贴纸+黄色胶纸</t>
  </si>
  <si>
    <t>CG319</t>
  </si>
  <si>
    <t xml:space="preserve">	
33708-000-1A-004-BW0</t>
  </si>
  <si>
    <t>POHK-26-05149</t>
  </si>
  <si>
    <t>XSDD000276</t>
  </si>
  <si>
    <t>POHK-26-02127</t>
  </si>
  <si>
    <t>XSDD000277</t>
  </si>
  <si>
    <t>CG318</t>
  </si>
  <si>
    <t>POHK-26-10052</t>
  </si>
  <si>
    <t>XSDD000470</t>
  </si>
  <si>
    <t>2PCS/盒+条码贴纸，4盒/箱+贴纸</t>
  </si>
  <si>
    <t>L-9684413</t>
  </si>
  <si>
    <t>33708-000-1A-004-WB0</t>
  </si>
  <si>
    <t>彩盒库存：</t>
  </si>
  <si>
    <t>带条码的1553个， 无日期码，</t>
  </si>
  <si>
    <t>不带条码的50个，无日期码。</t>
  </si>
  <si>
    <t>2026年#33853 情人节系列小搪胶鸭子系列订单汇总表</t>
  </si>
  <si>
    <r>
      <rPr>
        <sz val="11"/>
        <rFont val="宋体"/>
        <charset val="134"/>
      </rPr>
      <t>产品
日期码</t>
    </r>
    <r>
      <rPr>
        <b/>
        <sz val="10"/>
        <color rgb="FFFF0000"/>
        <rFont val="宋体"/>
        <charset val="134"/>
      </rPr>
      <t>（只印33623）</t>
    </r>
  </si>
  <si>
    <t>33853-000-1A-004-WB0</t>
  </si>
  <si>
    <t>CVS</t>
  </si>
  <si>
    <t>POHK-26-13240</t>
  </si>
  <si>
    <t>XSDD000906</t>
  </si>
  <si>
    <t>2386KTY01</t>
  </si>
  <si>
    <t>8/5下</t>
  </si>
  <si>
    <t>8/10下</t>
  </si>
  <si>
    <t>2款各1PC/彩盒+CVS#,4盒/箱</t>
  </si>
  <si>
    <t>POHK-26-17385</t>
  </si>
  <si>
    <t>XSDD000907</t>
  </si>
  <si>
    <t>POHK-26-17386</t>
  </si>
  <si>
    <t>XSDD000908</t>
  </si>
  <si>
    <t>POHK-26-17387</t>
  </si>
  <si>
    <t>XSDD000909</t>
  </si>
  <si>
    <t>POHK-26-17388</t>
  </si>
  <si>
    <t>XSDD000910</t>
  </si>
  <si>
    <t>POHK-26-17471</t>
  </si>
  <si>
    <t>XSDD000911</t>
  </si>
  <si>
    <t>POHK-26-17473</t>
  </si>
  <si>
    <t>XSDD000912</t>
  </si>
  <si>
    <t>POHK-26-17474</t>
  </si>
  <si>
    <t>XSDD000913</t>
  </si>
  <si>
    <t>POHK-26-17475</t>
  </si>
  <si>
    <t>XSDD000914</t>
  </si>
  <si>
    <t>POHK-26-17491</t>
  </si>
  <si>
    <t>XSDD000915</t>
  </si>
  <si>
    <t>POHK-26-17492</t>
  </si>
  <si>
    <t>XSDD000916</t>
  </si>
  <si>
    <t>POHK-26-17493</t>
  </si>
  <si>
    <t>XSDD000917</t>
  </si>
  <si>
    <t>0602664</t>
  </si>
  <si>
    <t>POHK-26-17494</t>
  </si>
  <si>
    <t>XSDD000918</t>
  </si>
  <si>
    <t>25% inline
9/2</t>
  </si>
  <si>
    <t>0391230</t>
  </si>
  <si>
    <t>POHK-26-17496</t>
  </si>
  <si>
    <t>XSDD000919</t>
  </si>
  <si>
    <t>POHK-26-17498</t>
  </si>
  <si>
    <t>XSDD000920</t>
  </si>
  <si>
    <t>POHK-26-17499</t>
  </si>
  <si>
    <t>XSDD000921</t>
  </si>
  <si>
    <t>POHK-26-17500</t>
  </si>
  <si>
    <t>XSDD000922</t>
  </si>
  <si>
    <t>POHK-26-17501</t>
  </si>
  <si>
    <t>XSDD000923</t>
  </si>
  <si>
    <t>2026年 #33415 小搪胶鸭子系列订单汇总表</t>
  </si>
  <si>
    <t>W1每款比例分配</t>
  </si>
  <si>
    <t>W2每款比例分配</t>
  </si>
  <si>
    <t>彩盒PDQ/吊牌</t>
  </si>
  <si>
    <t>扎带/胶袋</t>
  </si>
  <si>
    <t>Daniel &amp; Co.
（Best Team Trading Ltd）</t>
  </si>
  <si>
    <t>POHK-24-15796</t>
  </si>
  <si>
    <t>3005KTY01</t>
  </si>
  <si>
    <t>9/28四川</t>
  </si>
  <si>
    <t>1PC/吊牌+3C吊牌，18PCS/PDQ/外箱</t>
  </si>
  <si>
    <t>BT-240191</t>
  </si>
  <si>
    <t>33415-000-1J-018-HTD</t>
  </si>
  <si>
    <t>Concentra Portugal</t>
  </si>
  <si>
    <t>POHK-25-17901</t>
  </si>
  <si>
    <t>吊牌库存/PDQ 3K 11/7四川</t>
  </si>
  <si>
    <t>11/10下四川</t>
  </si>
  <si>
    <t>1PC/吊牌+UK圆形贴纸（12/9已订），18PCS/PDQ/外箱</t>
  </si>
  <si>
    <t>F20220250054</t>
  </si>
  <si>
    <t>33415-EU0-2R-018-HTD</t>
  </si>
  <si>
    <t>BMI</t>
  </si>
  <si>
    <t>POHK-25-18549</t>
  </si>
  <si>
    <t>XSDD000052</t>
  </si>
  <si>
    <t>3285KTY01</t>
  </si>
  <si>
    <t>11/14&amp;12/25</t>
  </si>
  <si>
    <t>1PC/吊牌（客人新发吊牌），36PCS/胶袋/外箱+图片贴纸</t>
  </si>
  <si>
    <t>PO050078</t>
  </si>
  <si>
    <t>33415-000-2C-036-HT0</t>
  </si>
  <si>
    <t>POHK-26-01272</t>
  </si>
  <si>
    <t>XSDD000161</t>
  </si>
  <si>
    <t>1PC/吊牌，36PC/胶袋/箱</t>
  </si>
  <si>
    <t>35806</t>
  </si>
  <si>
    <t>33415-000-1C-036-HT0</t>
  </si>
  <si>
    <t>JP EU</t>
  </si>
  <si>
    <t>POHK-26-05328</t>
  </si>
  <si>
    <t>XSDD000390</t>
  </si>
  <si>
    <t>1PC/吊牌+UK圆形贴纸，18PCS/PDQ/外箱</t>
  </si>
  <si>
    <t>00175-R0-SPA</t>
  </si>
  <si>
    <t>POHK-26-05333</t>
  </si>
  <si>
    <t>XSDD000389</t>
  </si>
  <si>
    <t>00180-R0-SPA</t>
  </si>
  <si>
    <t>POHK-26-09707</t>
  </si>
  <si>
    <t>XSDD000568</t>
  </si>
  <si>
    <t>1PC/吊牌+UK半圆贴纸，18PCS/PDQ/外箱</t>
  </si>
  <si>
    <t>F202/20260044</t>
  </si>
  <si>
    <t>POHK-26-09689</t>
  </si>
  <si>
    <t>XSDD000388</t>
  </si>
  <si>
    <t>1896KTY01</t>
  </si>
  <si>
    <t>6/10下</t>
  </si>
  <si>
    <t>00181-R0-SPA</t>
  </si>
  <si>
    <t>POHK-26-13031
7/22取消3960PCS</t>
  </si>
  <si>
    <t>6/10订 &amp;7/22胶袋</t>
  </si>
  <si>
    <t>1901605</t>
  </si>
  <si>
    <t>POHK-26-13033
7/22取消3960PCS</t>
  </si>
  <si>
    <t>POHK-26-17763</t>
  </si>
  <si>
    <t>XSDD000988</t>
  </si>
  <si>
    <t>用库存，7/29胶袋送货250个</t>
  </si>
  <si>
    <t>9/12下</t>
  </si>
  <si>
    <r>
      <rPr>
        <sz val="9"/>
        <rFont val="宋体"/>
        <charset val="134"/>
      </rPr>
      <t xml:space="preserve">1PC/吊牌+客供条码贴纸，36PC/胶袋/箱+客供图片贴纸
</t>
    </r>
    <r>
      <rPr>
        <sz val="9"/>
        <color rgb="FFFF0000"/>
        <rFont val="宋体"/>
        <charset val="134"/>
      </rPr>
      <t>（物料用：PO13031&amp;13033取消订单的库存）</t>
    </r>
  </si>
  <si>
    <t>PO053186</t>
  </si>
  <si>
    <t>Keith</t>
  </si>
  <si>
    <t>2026年  #33438  眼镜鸭系列3款订单汇总表</t>
  </si>
  <si>
    <t>客人出货期</t>
  </si>
  <si>
    <r>
      <rPr>
        <sz val="9"/>
        <rFont val="宋体"/>
        <charset val="134"/>
      </rPr>
      <t>33438-1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>米奇</t>
    </r>
  </si>
  <si>
    <r>
      <rPr>
        <sz val="9"/>
        <rFont val="宋体"/>
        <charset val="134"/>
      </rPr>
      <t>33438-2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>米妮</t>
    </r>
  </si>
  <si>
    <r>
      <rPr>
        <sz val="9"/>
        <rFont val="宋体"/>
        <charset val="134"/>
      </rPr>
      <t>33438-3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>史迪仔</t>
    </r>
  </si>
  <si>
    <t>JRC</t>
  </si>
  <si>
    <t>POHK-26-17724
8/27通知取消订单46800PCS</t>
  </si>
  <si>
    <t>XSDD000927</t>
  </si>
  <si>
    <t>2816KTY01</t>
  </si>
  <si>
    <t>各1PC/头卡/胶袋(封口处需横向加贴透明胶带），3款共72PCS（24袋）/箱</t>
  </si>
  <si>
    <t>072826-JP</t>
  </si>
  <si>
    <t>33438-TAR-1A-024-HC1</t>
  </si>
  <si>
    <t>2026年  #33769  小搪胶鸭子系列3款订单汇总表</t>
  </si>
  <si>
    <r>
      <rPr>
        <sz val="11"/>
        <rFont val="宋体"/>
        <charset val="134"/>
      </rPr>
      <t xml:space="preserve"> </t>
    </r>
    <r>
      <rPr>
        <sz val="11"/>
        <rFont val="宋体"/>
        <charset val="134"/>
      </rPr>
      <t>客人出货期</t>
    </r>
  </si>
  <si>
    <r>
      <rPr>
        <sz val="9"/>
        <rFont val="宋体"/>
        <charset val="134"/>
      </rPr>
      <t>#33416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>史迪仔</t>
    </r>
  </si>
  <si>
    <r>
      <rPr>
        <sz val="9"/>
        <rFont val="宋体"/>
        <charset val="134"/>
      </rPr>
      <t>#33417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>米奇</t>
    </r>
  </si>
  <si>
    <r>
      <rPr>
        <sz val="9"/>
        <rFont val="宋体"/>
        <charset val="134"/>
      </rPr>
      <t>#33418</t>
    </r>
    <r>
      <rPr>
        <sz val="9"/>
        <rFont val="宋体"/>
        <charset val="134"/>
      </rPr>
      <t xml:space="preserve">
</t>
    </r>
    <r>
      <rPr>
        <sz val="9"/>
        <rFont val="宋体"/>
        <charset val="134"/>
      </rPr>
      <t>米妮</t>
    </r>
  </si>
  <si>
    <t>33769-000-1A-024-HC1</t>
  </si>
  <si>
    <t>2026年#26850 华纳小鸭子超人系列5款订单汇总表</t>
  </si>
  <si>
    <t>MA编号</t>
  </si>
  <si>
    <t xml:space="preserve">BMI </t>
  </si>
  <si>
    <t>1PC/吊牌+贴纸，48PCS/蛋格/平卡/外箱+图片贴纸</t>
  </si>
  <si>
    <t>26850-000-1E-048-HT0</t>
  </si>
  <si>
    <t>XSDD000039</t>
  </si>
  <si>
    <t>26850-EU0-1J-018-HTD</t>
  </si>
  <si>
    <t>POHK-25-21475</t>
  </si>
  <si>
    <t>XSDD000050</t>
  </si>
  <si>
    <t>1PC/吊牌，18PCS/蛋格/平卡/外箱</t>
  </si>
  <si>
    <t>26850-000-1D-018-HT0</t>
  </si>
  <si>
    <t>26850-000-1F-018-HTD</t>
  </si>
  <si>
    <t>1PC/吊牌+客供吊牌，18PCS/PDQ/外箱</t>
  </si>
  <si>
    <t>Pecos/ Chile</t>
  </si>
  <si>
    <t>POHK-26-16583</t>
  </si>
  <si>
    <t>XSDD000901</t>
  </si>
  <si>
    <t>18个装8L版本及PDQ已签办</t>
  </si>
  <si>
    <t>18个装3L版本及PDQ已签办</t>
  </si>
  <si>
    <t>3L版本12个装PDQ</t>
  </si>
  <si>
    <t>3L版本18个装PDQ</t>
  </si>
  <si>
    <t>2025年#26870 华纳小鸭子恐怖系列3款订单汇总表</t>
  </si>
  <si>
    <t>26870-000-1H-018-HTD</t>
  </si>
  <si>
    <t>Pending</t>
  </si>
  <si>
    <t>Bensons-Australia</t>
  </si>
  <si>
    <t>POHK-26-10367</t>
  </si>
  <si>
    <t>XSDD000564</t>
  </si>
  <si>
    <t>B516414</t>
  </si>
  <si>
    <t>2026年 #33865  搪胶小鸭子系列订单汇总表</t>
  </si>
  <si>
    <r>
      <rPr>
        <sz val="9"/>
        <color rgb="FFFF0000"/>
        <rFont val="宋体"/>
        <charset val="134"/>
      </rPr>
      <t>33044</t>
    </r>
    <r>
      <rPr>
        <sz val="9"/>
        <rFont val="宋体"/>
        <charset val="134"/>
      </rPr>
      <t xml:space="preserve">
黑武士</t>
    </r>
  </si>
  <si>
    <t>POHK-26-10924</t>
  </si>
  <si>
    <t>XSDD000578</t>
  </si>
  <si>
    <t>1PC/吊牌，36PC/蛋格/外箱+贴纸</t>
  </si>
  <si>
    <t>7/2运输</t>
  </si>
  <si>
    <t>6873230</t>
  </si>
  <si>
    <t>33865-000-1A-036-HT0</t>
  </si>
  <si>
    <t>POHK-26-10925</t>
  </si>
  <si>
    <t>XSDD000577</t>
  </si>
  <si>
    <t>6869604</t>
  </si>
  <si>
    <t>2026年#33610 小搪胶鸭子系列2款订单汇总表</t>
  </si>
  <si>
    <t>#33612
橙色拼图小鸭</t>
  </si>
  <si>
    <t>#33674
巧克力小鸭</t>
  </si>
  <si>
    <t>CVS-Halloween</t>
  </si>
  <si>
    <t>POHK-26-02298</t>
  </si>
  <si>
    <t>XSDD000162</t>
  </si>
  <si>
    <t>专用字唛1136KTY01</t>
  </si>
  <si>
    <t>1136KTY01</t>
  </si>
  <si>
    <t>4/15运输2026/5/14</t>
  </si>
  <si>
    <t>25%抽样在5/7</t>
  </si>
  <si>
    <t>33610-CVS-1B-012-HTD</t>
  </si>
  <si>
    <t>POHK-26-02214</t>
  </si>
  <si>
    <t>XSDD000177</t>
  </si>
  <si>
    <t>POHK-26-02222</t>
  </si>
  <si>
    <t>XSDD000176</t>
  </si>
  <si>
    <t>0337607</t>
  </si>
  <si>
    <t>POHK-26-02223</t>
  </si>
  <si>
    <t>XSDD000175</t>
  </si>
  <si>
    <t>0560525</t>
  </si>
  <si>
    <t>POHK-26-02242</t>
  </si>
  <si>
    <t>XSDD000174</t>
  </si>
  <si>
    <t>POHK-26-02250</t>
  </si>
  <si>
    <t>XSDD000173</t>
  </si>
  <si>
    <t>POHK-26-02251</t>
  </si>
  <si>
    <t>XSDD000172</t>
  </si>
  <si>
    <t>POHK-26-02258</t>
  </si>
  <si>
    <t>XSDD000171</t>
  </si>
  <si>
    <t>POHK-26-02266</t>
  </si>
  <si>
    <t>XSDD000170</t>
  </si>
  <si>
    <t>POHK-26-02269</t>
  </si>
  <si>
    <t>XSDD000169</t>
  </si>
  <si>
    <t>POHK-26-02278</t>
  </si>
  <si>
    <t>XSDD000167</t>
  </si>
  <si>
    <t>POHK-26-02284</t>
  </si>
  <si>
    <t>XSDD000166</t>
  </si>
  <si>
    <t>POHK-26-02285</t>
  </si>
  <si>
    <t>XSDD000165</t>
  </si>
  <si>
    <t>POHK-26-02295</t>
  </si>
  <si>
    <t>XSDD000164</t>
  </si>
  <si>
    <t>POHK-26-02297</t>
  </si>
  <si>
    <t>XSDD000163</t>
  </si>
  <si>
    <t>POHK-26-02275</t>
  </si>
  <si>
    <t>XSDD000168</t>
  </si>
  <si>
    <t>2026年 #33670  搪胶小鸭子系列9款订单汇总表</t>
  </si>
  <si>
    <t>#33642
钢铁侠</t>
  </si>
  <si>
    <t>POHK-26-15554</t>
  </si>
  <si>
    <t>XSDD000858</t>
  </si>
  <si>
    <t>8/17下</t>
  </si>
  <si>
    <r>
      <rPr>
        <sz val="9"/>
        <rFont val="宋体"/>
        <charset val="134"/>
      </rPr>
      <t>1PC/吊牌+</t>
    </r>
    <r>
      <rPr>
        <sz val="9"/>
        <color rgb="FFFF0000"/>
        <rFont val="宋体"/>
        <charset val="134"/>
      </rPr>
      <t>进口商吊牌（8/12订）</t>
    </r>
    <r>
      <rPr>
        <sz val="9"/>
        <rFont val="宋体"/>
        <charset val="134"/>
      </rPr>
      <t>，18PCS/PDQ（加客LOGO）/外箱+平卡</t>
    </r>
  </si>
  <si>
    <t>9/1运输</t>
  </si>
  <si>
    <t>062226-50820842</t>
  </si>
  <si>
    <t>33670-000-1A-018-HTD</t>
  </si>
  <si>
    <t>MA26001+
MA26002</t>
  </si>
  <si>
    <t>POHK-26-17726</t>
  </si>
  <si>
    <t>XSDD000930</t>
  </si>
  <si>
    <t>072326-50820957</t>
  </si>
  <si>
    <t>9/16批箱唛</t>
  </si>
  <si>
    <t>2026年 #33745  搪胶小鸭子系列9款订单汇总表</t>
  </si>
  <si>
    <t>#33479
三眼外星人</t>
  </si>
  <si>
    <t>#33634
海绵宝宝</t>
  </si>
  <si>
    <t>#33508
变形金刚</t>
  </si>
  <si>
    <t>#33596
黑武士</t>
  </si>
  <si>
    <t>33745-000-1A-018-HTD</t>
  </si>
  <si>
    <t>MA26001+MA26002</t>
  </si>
  <si>
    <t>2026年 #33825  搪胶小鸭子系列9款订单汇总表</t>
  </si>
  <si>
    <t>#33667
格罗古</t>
  </si>
  <si>
    <t>#33729
曼达洛人</t>
  </si>
  <si>
    <t>33825-000-1A-018-HTD</t>
  </si>
  <si>
    <t>2026年 #33970  搪胶小鸭子系列15款订单汇总表</t>
  </si>
  <si>
    <r>
      <rPr>
        <sz val="9"/>
        <rFont val="宋体"/>
        <charset val="134"/>
      </rPr>
      <t xml:space="preserve">ALDI
</t>
    </r>
    <r>
      <rPr>
        <sz val="8"/>
        <rFont val="宋体"/>
        <charset val="134"/>
      </rPr>
      <t>（SI-Slovenia）</t>
    </r>
  </si>
  <si>
    <t>1PC/吊牌，18PC/PDQ/箱</t>
  </si>
  <si>
    <t xml:space="preserve"> 33970-000-1A-018-HTD</t>
  </si>
  <si>
    <t>ALDI
（GB-UK）</t>
  </si>
  <si>
    <r>
      <rPr>
        <sz val="9"/>
        <rFont val="宋体"/>
        <charset val="134"/>
      </rPr>
      <t xml:space="preserve">ALDI
</t>
    </r>
    <r>
      <rPr>
        <sz val="8"/>
        <rFont val="宋体"/>
        <charset val="134"/>
      </rPr>
      <t>（IE-Ireland）</t>
    </r>
  </si>
  <si>
    <t>2026年  #46113  14"史迪仔 订单汇总表</t>
  </si>
  <si>
    <t>EB Games Aust</t>
  </si>
  <si>
    <t>POHK-25-20367</t>
  </si>
  <si>
    <t>1PC/彩盒，2PCS/箱</t>
  </si>
  <si>
    <t>R00105358</t>
  </si>
  <si>
    <t>46113-000-1D-002-WB0</t>
  </si>
  <si>
    <t>B&amp;M France</t>
  </si>
  <si>
    <t>POHK-26-02299</t>
  </si>
  <si>
    <t>XSDD000138</t>
  </si>
  <si>
    <t>1PC+CE贴纸/彩盒+ITEM贴纸，2PCS/箱</t>
  </si>
  <si>
    <t>2026006174</t>
  </si>
  <si>
    <t>POHK-26-15000
取消订单1720PCS</t>
  </si>
  <si>
    <t>XSDD000747</t>
  </si>
  <si>
    <t>1PC/彩盒，4PCS/箱</t>
  </si>
  <si>
    <t>7/2运输PASS</t>
  </si>
  <si>
    <t>inline
2026/7/2</t>
  </si>
  <si>
    <t>1007581343</t>
  </si>
  <si>
    <t>46113-000-1G-004-WB0</t>
  </si>
  <si>
    <t>POHK-26-15001
取消订单723PCS</t>
  </si>
  <si>
    <t>XSDD000749</t>
  </si>
  <si>
    <t>1007581350</t>
  </si>
  <si>
    <t>POHK-26-15002
取消订单1712PCS</t>
  </si>
  <si>
    <t>XSDD000750</t>
  </si>
  <si>
    <t>1007581353</t>
  </si>
  <si>
    <t>POHK-26-15003
取消订单845PCS</t>
  </si>
  <si>
    <t>XSDD000751</t>
  </si>
  <si>
    <t>1007581354</t>
  </si>
  <si>
    <t>邮包盒库存</t>
  </si>
  <si>
    <t>2026年 #46440 6款桶混装系列 订单汇总表</t>
  </si>
  <si>
    <t>吊牌/彩盒</t>
  </si>
  <si>
    <t>扎带&amp;水桶扣&amp;螺丝</t>
  </si>
  <si>
    <t>46092-1
胡迪</t>
  </si>
  <si>
    <t>46092-2
巴斯</t>
  </si>
  <si>
    <t>46092-3
杰西</t>
  </si>
  <si>
    <t>46092-4
红心</t>
  </si>
  <si>
    <t>46092-5
扎克</t>
  </si>
  <si>
    <t>46097-1
小熊维尼</t>
  </si>
  <si>
    <t>46097-2
跳跳虎</t>
  </si>
  <si>
    <t>46097-3
屹耳</t>
  </si>
  <si>
    <t>46097-4
兔子瑞比</t>
  </si>
  <si>
    <t>46097-5
小猪皮杰</t>
  </si>
  <si>
    <t>46099-1
米奇</t>
  </si>
  <si>
    <t>46099-2
米妮</t>
  </si>
  <si>
    <t>46099-3
唐老鸭</t>
  </si>
  <si>
    <t>46099-4
布鲁托</t>
  </si>
  <si>
    <t>46099-5
高飞狗</t>
  </si>
  <si>
    <t>46132-1 
闪电麦昆</t>
  </si>
  <si>
    <t>46132-2
板牙</t>
  </si>
  <si>
    <t>46132-3
路霸</t>
  </si>
  <si>
    <t>46132-4
莎莉</t>
  </si>
  <si>
    <t>46132-5
医生</t>
  </si>
  <si>
    <t>46133-1
爱丽儿</t>
  </si>
  <si>
    <t>46133-2
乌苏拉</t>
  </si>
  <si>
    <t>46133-3
比目鱼</t>
  </si>
  <si>
    <t>46133-4
亚历克</t>
  </si>
  <si>
    <t>46133-5
塞巴斯蒂安</t>
  </si>
  <si>
    <t>46134-1 
莫阿娜</t>
  </si>
  <si>
    <t>46134-2
小猪</t>
  </si>
  <si>
    <t>46134-3
螃蟹怪</t>
  </si>
  <si>
    <t>46134-4
毛伊</t>
  </si>
  <si>
    <t>46134-5
憨憨</t>
  </si>
  <si>
    <t>POHK-26-08142</t>
  </si>
  <si>
    <t>XSDD000777</t>
  </si>
  <si>
    <t>5款公仔各1PCS/桶+客供CE贴纸，46092/46097装一内箱，46099/46132装一内箱，46133/46134装一内箱，3内箱/外箱</t>
  </si>
  <si>
    <t>7/7运输测试</t>
  </si>
  <si>
    <t>754457-01112026-UK</t>
  </si>
  <si>
    <t xml:space="preserve"> 
46440-000-1A-006-HT0</t>
  </si>
  <si>
    <t>POHK-26-08143</t>
  </si>
  <si>
    <t>XSDD000778</t>
  </si>
  <si>
    <t>754457-01112026-IE</t>
  </si>
  <si>
    <t xml:space="preserve"> 46440-000-1A-006-HT0</t>
  </si>
  <si>
    <t>2026年 #46919 米妮系列 订单汇总表</t>
  </si>
  <si>
    <t>46496-1
克拉贝尔</t>
  </si>
  <si>
    <t>46496-2
黄色鸟</t>
  </si>
  <si>
    <t>46496-3
黛西</t>
  </si>
  <si>
    <t>46496-4
费加罗</t>
  </si>
  <si>
    <t>46496-5
米妮</t>
  </si>
  <si>
    <t>vivian</t>
  </si>
  <si>
    <t>POHK-26-00979</t>
  </si>
  <si>
    <t>XSDD000240</t>
  </si>
  <si>
    <t>5款公仔各1PCS/桶+吊牌+Target专用贴纸，2桶/箱+条码贴纸</t>
  </si>
  <si>
    <t>4/15运输测试
2026/4/23</t>
  </si>
  <si>
    <t>10001700260-3890</t>
  </si>
  <si>
    <t>46919-TAR-1A-002-HT0</t>
  </si>
  <si>
    <t>POHK-26-00980</t>
  </si>
  <si>
    <t>XSDD000239</t>
  </si>
  <si>
    <t>10001700250-3891</t>
  </si>
  <si>
    <t>POHK-26-01557</t>
  </si>
  <si>
    <t>XSDD000237</t>
  </si>
  <si>
    <t>10001720755-3890</t>
  </si>
  <si>
    <t>POHK-26-04107</t>
  </si>
  <si>
    <t>XSDD000351</t>
  </si>
  <si>
    <t>4/8下</t>
  </si>
  <si>
    <t>4/20订</t>
  </si>
  <si>
    <t>4/20下</t>
  </si>
  <si>
    <t>10001764353-0581</t>
  </si>
  <si>
    <t>POHK-26-04098</t>
  </si>
  <si>
    <t>XSDD000352</t>
  </si>
  <si>
    <t>10001764373-3891</t>
  </si>
  <si>
    <t>POHK-26-04094</t>
  </si>
  <si>
    <t>XSDD000344</t>
  </si>
  <si>
    <t>10001764371-3890</t>
  </si>
  <si>
    <t>POHK-26-04060</t>
  </si>
  <si>
    <t>XSDD000350</t>
  </si>
  <si>
    <t>10001764400-3891</t>
  </si>
  <si>
    <t>POHK-26-04082</t>
  </si>
  <si>
    <t>XSDD000349</t>
  </si>
  <si>
    <t xml:space="preserve"> 10001764399-3890</t>
  </si>
  <si>
    <t>POHK-26-03287</t>
  </si>
  <si>
    <t>XSDD000348</t>
  </si>
  <si>
    <t>10001761435-3891</t>
  </si>
  <si>
    <t>POHK-26-03298</t>
  </si>
  <si>
    <t>XSDD000347</t>
  </si>
  <si>
    <t>10001761463-3890</t>
  </si>
  <si>
    <t>POHK-26-04073</t>
  </si>
  <si>
    <t>XSDD000346</t>
  </si>
  <si>
    <t xml:space="preserve"> 10001764392-3891</t>
  </si>
  <si>
    <t>POHK-26-04092</t>
  </si>
  <si>
    <t>XSDD000345</t>
  </si>
  <si>
    <t xml:space="preserve"> 10001764391-3890</t>
  </si>
  <si>
    <t>POHK-26-03997</t>
  </si>
  <si>
    <t>XSDD000484</t>
  </si>
  <si>
    <t>10001764469-3891</t>
  </si>
  <si>
    <t>POHK-26-04014</t>
  </si>
  <si>
    <t>XSDD000482</t>
  </si>
  <si>
    <t>10001764468-3890</t>
  </si>
  <si>
    <t>POHK-26-04091</t>
  </si>
  <si>
    <t>XSDD000483</t>
  </si>
  <si>
    <t>10001764385-3891</t>
  </si>
  <si>
    <t>POHK-26-04093</t>
  </si>
  <si>
    <t>XSDD000485</t>
  </si>
  <si>
    <t>10001764383-3890</t>
  </si>
  <si>
    <t>POHK-26-04097</t>
  </si>
  <si>
    <t>XSDD000675</t>
  </si>
  <si>
    <t>10001764379-3891</t>
  </si>
  <si>
    <t>POHK-26-04095</t>
  </si>
  <si>
    <t>XSDD000676</t>
  </si>
  <si>
    <t>6/3订</t>
  </si>
  <si>
    <t>10001764378-3890</t>
  </si>
  <si>
    <t>POHK-26-03998</t>
  </si>
  <si>
    <t>XSDD000674</t>
  </si>
  <si>
    <t>10001764481-3891</t>
  </si>
  <si>
    <t>POHK-26-03995</t>
  </si>
  <si>
    <t>XSDD000673</t>
  </si>
  <si>
    <t>10001764477-3890</t>
  </si>
  <si>
    <t>POHK-26-04061</t>
  </si>
  <si>
    <t>XSDD000808</t>
  </si>
  <si>
    <t>7/2下</t>
  </si>
  <si>
    <t>10001764396-3891</t>
  </si>
  <si>
    <t>POHK-26-04075</t>
  </si>
  <si>
    <t>XSDD000809</t>
  </si>
  <si>
    <t>10001764395-3890</t>
  </si>
  <si>
    <t>POHK-26-04001</t>
  </si>
  <si>
    <t>XSDD000810</t>
  </si>
  <si>
    <t>10001764472-3891</t>
  </si>
  <si>
    <t>2026年 #46918 米奇老鼠系列 订单汇总表</t>
  </si>
  <si>
    <t>46918-TAR-1A-002-HT0</t>
  </si>
  <si>
    <t>MAA26001</t>
  </si>
  <si>
    <t>POHK-26-01559</t>
  </si>
  <si>
    <t>XSDD000236</t>
  </si>
  <si>
    <t xml:space="preserve"> 10001720760-3891</t>
  </si>
  <si>
    <t>POHK-26-02170</t>
  </si>
  <si>
    <t>XSDD000238</t>
  </si>
  <si>
    <t>3/16下</t>
  </si>
  <si>
    <t>10001740201-3891</t>
  </si>
  <si>
    <t>MAA26002</t>
  </si>
  <si>
    <t>POHK-26-02172</t>
  </si>
  <si>
    <t>XSDD000235</t>
  </si>
  <si>
    <t>10001740230-3890</t>
  </si>
  <si>
    <t xml:space="preserve"> 10001764400-3891</t>
  </si>
  <si>
    <t>MAA26003</t>
  </si>
  <si>
    <t>10001764399-3890</t>
  </si>
  <si>
    <t>10001764392-3891</t>
  </si>
  <si>
    <t>10001764391-3890</t>
  </si>
  <si>
    <t xml:space="preserve"> 46918-TAR-1A-002-HT0</t>
  </si>
  <si>
    <t>MAA26004</t>
  </si>
  <si>
    <t>POHK-26-04005</t>
  </si>
  <si>
    <t>XSDD000874</t>
  </si>
  <si>
    <t>10001764471-3890</t>
  </si>
  <si>
    <t>MA26008</t>
  </si>
  <si>
    <t>POHK-26-04064</t>
  </si>
  <si>
    <t>XSDD000875</t>
  </si>
  <si>
    <t>10001764404-3891</t>
  </si>
  <si>
    <t>POHK-26-04062</t>
  </si>
  <si>
    <t>XSDD000873</t>
  </si>
  <si>
    <t>8/7下</t>
  </si>
  <si>
    <t>10001764403-3890</t>
  </si>
  <si>
    <t>POHK-26-04090</t>
  </si>
  <si>
    <t>XSDD000942</t>
  </si>
  <si>
    <t>8/15下</t>
  </si>
  <si>
    <t>10001764381-3891</t>
  </si>
  <si>
    <t>POHK-26-04096</t>
  </si>
  <si>
    <t>XSDD000943</t>
  </si>
  <si>
    <t>10001764380-3890</t>
  </si>
  <si>
    <t>POHK-26-15282</t>
  </si>
  <si>
    <t>XSDD000956</t>
  </si>
  <si>
    <t>扣46092（PO-10558）取消的纸箱后，9/5下</t>
  </si>
  <si>
    <t>5款公仔各1PCS/桶+吊牌+Target专用贴纸，2桶/箱+条码贴纸+黄色贴纸（SET Date: 10/25/2026）</t>
  </si>
  <si>
    <t>POHK-26-15285</t>
  </si>
  <si>
    <t>XSDD000957</t>
  </si>
  <si>
    <t>9/5下</t>
  </si>
  <si>
    <t>SCHK-26-18367</t>
  </si>
  <si>
    <t>FO00000246</t>
  </si>
  <si>
    <t>10002043250-0581</t>
  </si>
  <si>
    <t>MA26009</t>
  </si>
  <si>
    <t>2026年 #46496 米妮系列 订单汇总表</t>
  </si>
  <si>
    <t>POHK-26-01454</t>
  </si>
  <si>
    <t>XSDD000246</t>
  </si>
  <si>
    <t>3/5下</t>
  </si>
  <si>
    <t>4/4下</t>
  </si>
  <si>
    <t>5款公仔各1PCS/桶+8L吊牌+进口商吊牌，2桶/箱+贴纸</t>
  </si>
  <si>
    <t>4/15运输测试
2026/4/24</t>
  </si>
  <si>
    <t>46496-000-1B-002-HT0</t>
  </si>
  <si>
    <t>POHK-26-02922</t>
  </si>
  <si>
    <t>XSDD000245</t>
  </si>
  <si>
    <t>6/2出1660；6/15出2946，交清</t>
  </si>
  <si>
    <t>Target US</t>
  </si>
  <si>
    <t>POHK-26-02862</t>
  </si>
  <si>
    <t>XSDD000394</t>
  </si>
  <si>
    <t>5款公仔各1PCS/桶+专用吊牌，2桶/箱+条码贴纸+黄色贴纸</t>
  </si>
  <si>
    <t>6/6出502 6/13出3198，交清</t>
  </si>
  <si>
    <t>10001757055-0581</t>
  </si>
  <si>
    <t>46496-TAR-1A-002-HT0</t>
  </si>
  <si>
    <t>POHK-26-02582</t>
  </si>
  <si>
    <t>XSDD000201</t>
  </si>
  <si>
    <t>5款公仔各1PCS/桶+产品贴纸+8L吊牌，2桶/箱</t>
  </si>
  <si>
    <t xml:space="preserve"> 46496-000-1B-002-HT0</t>
  </si>
  <si>
    <t>5款公仔各1PCS/桶+8L吊牌+客供贴纸，2桶/箱</t>
  </si>
  <si>
    <t>POHK-26-02861</t>
  </si>
  <si>
    <t>XSDD000395</t>
  </si>
  <si>
    <t>5款公仔各1PCS/桶+专用吊牌，2桶/箱+条码贴纸</t>
  </si>
  <si>
    <t>10001757081-0581</t>
  </si>
  <si>
    <t>POHK-26-09036</t>
  </si>
  <si>
    <t>XSDD000377</t>
  </si>
  <si>
    <t>5款公仔各1PCS/桶++CE贴纸+8L吊牌，2桶/箱</t>
  </si>
  <si>
    <t>00174-R0-IT</t>
  </si>
  <si>
    <t>POHK-26-02923</t>
  </si>
  <si>
    <t>XSDD000244</t>
  </si>
  <si>
    <t>2026/6/23出992,7/1出1844，交清</t>
  </si>
  <si>
    <t>POHK-26-07086</t>
  </si>
  <si>
    <t>XSDD000391</t>
  </si>
  <si>
    <t>5款公仔各1PCS/桶+吊牌，2桶/箱+条码贴纸+黄色贴纸</t>
  </si>
  <si>
    <t>10001806442-0581</t>
  </si>
  <si>
    <t>POHK-26-07099</t>
  </si>
  <si>
    <t>XSDD000393</t>
  </si>
  <si>
    <t>10001806367-0581</t>
  </si>
  <si>
    <t>Farmers (NZ)</t>
  </si>
  <si>
    <t>POHK-26-05282</t>
  </si>
  <si>
    <t>XSDD000386</t>
  </si>
  <si>
    <t>5款公仔各1PCS/桶+8L吊牌+客供价格贴纸，2桶/箱</t>
  </si>
  <si>
    <t>POHK-26-02924</t>
  </si>
  <si>
    <t>XSDD000243</t>
  </si>
  <si>
    <t>5款公仔各1PCS/桶+8L吊牌+进口商吊牌，2桶/箱+条码贴纸</t>
  </si>
  <si>
    <t>POHK-26-06471</t>
  </si>
  <si>
    <t>XSDD000649</t>
  </si>
  <si>
    <t>10001800547-0581</t>
  </si>
  <si>
    <t>POHK-26-10838</t>
  </si>
  <si>
    <t>XSDD000589</t>
  </si>
  <si>
    <t>5/28下</t>
  </si>
  <si>
    <t>5款公仔各1PCS/桶+CE贴纸+8L吊牌，2桶/箱</t>
  </si>
  <si>
    <t>00194-R0-AMZ</t>
  </si>
  <si>
    <t>POHK-26-08159</t>
  </si>
  <si>
    <t>XSDD000648</t>
  </si>
  <si>
    <t>10001826690-3891</t>
  </si>
  <si>
    <t>Basile Giocattoli Italy</t>
  </si>
  <si>
    <t>POHK-26-10441</t>
  </si>
  <si>
    <t>XSDD000478</t>
  </si>
  <si>
    <t>BASILE_MAY</t>
  </si>
  <si>
    <t>POHK-26-08163</t>
  </si>
  <si>
    <t>XSDD000647</t>
  </si>
  <si>
    <t>6/99</t>
  </si>
  <si>
    <t>10001826689-3890</t>
  </si>
  <si>
    <t>POHK-26-09272</t>
  </si>
  <si>
    <t>XSDD000604</t>
  </si>
  <si>
    <r>
      <rPr>
        <sz val="9"/>
        <rFont val="宋体"/>
        <charset val="134"/>
      </rPr>
      <t>5款公仔各1PCS/桶+</t>
    </r>
    <r>
      <rPr>
        <sz val="9"/>
        <color rgb="FFFF0000"/>
        <rFont val="宋体"/>
        <charset val="134"/>
      </rPr>
      <t>客供</t>
    </r>
    <r>
      <rPr>
        <sz val="9"/>
        <rFont val="宋体"/>
        <charset val="134"/>
      </rPr>
      <t>CE贴纸+8L吊牌，2桶/箱</t>
    </r>
  </si>
  <si>
    <t>POHK-26-02926</t>
  </si>
  <si>
    <t>XSDD000242</t>
  </si>
  <si>
    <t>SMYTHS GERMANY</t>
  </si>
  <si>
    <t>POHK-26-09237</t>
  </si>
  <si>
    <t>XSDD000603</t>
  </si>
  <si>
    <t>Amazon EU</t>
  </si>
  <si>
    <t>POHK-26-10832</t>
  </si>
  <si>
    <t>XSDD000655</t>
  </si>
  <si>
    <t>00193-R0-AMZ</t>
  </si>
  <si>
    <t>POHK-26-02927</t>
  </si>
  <si>
    <t>XSDD000247</t>
  </si>
  <si>
    <t>免三方</t>
  </si>
  <si>
    <t>POHK-26-14225</t>
  </si>
  <si>
    <t>XSDD000679</t>
  </si>
  <si>
    <t>2406KTY011</t>
  </si>
  <si>
    <t>贴纸待订</t>
  </si>
  <si>
    <t>模已拉走</t>
  </si>
  <si>
    <t>2026年 #46911 蜘蛛侠系列 订单汇总表</t>
  </si>
  <si>
    <t>46911-1
八爪鱼博士</t>
  </si>
  <si>
    <t>46911-2
绿魔</t>
  </si>
  <si>
    <t>46911-3
格温</t>
  </si>
  <si>
    <t>46911-4
迈尔斯</t>
  </si>
  <si>
    <t>46911-5
彼得</t>
  </si>
  <si>
    <t>XSDD000442</t>
  </si>
  <si>
    <t>46911-TAR-1A-002-HT0</t>
  </si>
  <si>
    <t>2026/6/22出576；2026/6/23出64，交清</t>
  </si>
  <si>
    <t>POHK-26-10606</t>
  </si>
  <si>
    <t>XSDD000853</t>
  </si>
  <si>
    <t>10001863950-0581</t>
  </si>
  <si>
    <t>46911-TAR-2A-002-HT0</t>
  </si>
  <si>
    <t>2026年 #46462 史迪仔系列 订单汇总表</t>
  </si>
  <si>
    <t>46462-1
史迪仔1</t>
  </si>
  <si>
    <t>46462-2
草裙史迪仔</t>
  </si>
  <si>
    <t>46462-3
安琪</t>
  </si>
  <si>
    <t>46462-4
罗丽</t>
  </si>
  <si>
    <t>46462-5
小金</t>
  </si>
  <si>
    <t>POHK-26-02210</t>
  </si>
  <si>
    <t>XSDD000123</t>
  </si>
  <si>
    <t>5款公仔各1PCS/桶+8L吊牌+贴纸，2桶/箱</t>
  </si>
  <si>
    <t>00170-R0-SPA</t>
  </si>
  <si>
    <t>46462-000-1B-002-HT0</t>
  </si>
  <si>
    <t>POHK-26-02913</t>
  </si>
  <si>
    <t>XSDD000131</t>
  </si>
  <si>
    <t>6/2出2086；6/15出3708，交清</t>
  </si>
  <si>
    <t>46462-TAR-1A-002-HT0</t>
  </si>
  <si>
    <t>Auchan
France</t>
  </si>
  <si>
    <t>POHK-26-06844</t>
  </si>
  <si>
    <t>XSDD000422</t>
  </si>
  <si>
    <t>5款公仔各1PCS/桶+8L吊牌+CE贴纸，2桶/箱</t>
  </si>
  <si>
    <t>POHK-26-06753</t>
  </si>
  <si>
    <t>XSDD000421</t>
  </si>
  <si>
    <t>POHK-26-06752</t>
  </si>
  <si>
    <t>XSDD000420</t>
  </si>
  <si>
    <t>POHK-26-09996</t>
  </si>
  <si>
    <t>XSDD000444</t>
  </si>
  <si>
    <t>POHK-26-02914</t>
  </si>
  <si>
    <t>XSDD000130</t>
  </si>
  <si>
    <t>2026/6/22 出货2954；7/1出货614，交清</t>
  </si>
  <si>
    <t>POHK-26-09497</t>
  </si>
  <si>
    <t>XSDD000387</t>
  </si>
  <si>
    <t>F</t>
  </si>
  <si>
    <t>Concentra</t>
  </si>
  <si>
    <t>POHK-26-10891</t>
  </si>
  <si>
    <t>XSDD000445</t>
  </si>
  <si>
    <t>POHK-26-02916</t>
  </si>
  <si>
    <t>XSDD000129</t>
  </si>
  <si>
    <t>5款公仔各1PCS/桶+吊牌，2桶/箱+条码贴纸</t>
  </si>
  <si>
    <t>POHK-26-02917</t>
  </si>
  <si>
    <t>XSDD000128</t>
  </si>
  <si>
    <t>Toys Centre</t>
  </si>
  <si>
    <t>POHK-26-12388</t>
  </si>
  <si>
    <t>XSDD000567</t>
  </si>
  <si>
    <t>TOYSCENTRE_FA26</t>
  </si>
  <si>
    <t>MODIVO, Poland</t>
  </si>
  <si>
    <t>7/15通知取消500套</t>
  </si>
  <si>
    <t>500套 物料做库存</t>
  </si>
  <si>
    <r>
      <rPr>
        <sz val="9"/>
        <color theme="1"/>
        <rFont val="宋体"/>
        <charset val="134"/>
      </rPr>
      <t xml:space="preserve">POHK-26-02920
</t>
    </r>
    <r>
      <rPr>
        <sz val="9"/>
        <color rgb="FFFF0000"/>
        <rFont val="宋体"/>
        <charset val="134"/>
      </rPr>
      <t>8/19取消5848套</t>
    </r>
  </si>
  <si>
    <t>XSDD000127</t>
  </si>
  <si>
    <t>出库存</t>
  </si>
  <si>
    <t>46462-000-2B-002-HT0</t>
  </si>
  <si>
    <t>物料库存（套）</t>
  </si>
  <si>
    <t>2026年 #46134 海洋奇缘系列 订单汇总表</t>
  </si>
  <si>
    <r>
      <rPr>
        <sz val="11"/>
        <rFont val="宋体"/>
        <charset val="134"/>
      </rPr>
      <t>贴纸</t>
    </r>
    <r>
      <rPr>
        <sz val="9"/>
        <color rgb="FFFF0000"/>
        <rFont val="宋体"/>
        <charset val="134"/>
      </rPr>
      <t>(3L/8L)</t>
    </r>
  </si>
  <si>
    <t>Farmers NZ</t>
  </si>
  <si>
    <t>使用PO-14743取消订单转入
POHK-25-18458</t>
  </si>
  <si>
    <t>9/13订购</t>
  </si>
  <si>
    <t>1/14到</t>
  </si>
  <si>
    <t>5款公仔各1PCS/桶/吊牌+客供价格吊牌，2桶/箱</t>
  </si>
  <si>
    <t>46134-000-2C-002-HT0</t>
  </si>
  <si>
    <t>POHK-25-21136</t>
  </si>
  <si>
    <t>0216KTY01</t>
  </si>
  <si>
    <t>2026/1/26
旧桶</t>
  </si>
  <si>
    <t>46134-000-1A-002-HT0</t>
  </si>
  <si>
    <t>POHK-25-21137</t>
  </si>
  <si>
    <t>XSDD000049</t>
  </si>
  <si>
    <r>
      <rPr>
        <sz val="9"/>
        <color rgb="FFFF0000"/>
        <rFont val="宋体"/>
        <charset val="134"/>
      </rPr>
      <t>2026/3/10</t>
    </r>
    <r>
      <rPr>
        <sz val="9"/>
        <color theme="1"/>
        <rFont val="宋体"/>
        <charset val="134"/>
      </rPr>
      <t xml:space="preserve">
旧桶</t>
    </r>
  </si>
  <si>
    <t>POHK-25-21818</t>
  </si>
  <si>
    <t>XSDD000160</t>
  </si>
  <si>
    <t>0546KTY01</t>
  </si>
  <si>
    <t>2/4下四川</t>
  </si>
  <si>
    <t>5款公仔各1PCS/桶+8L吊牌+二维码贴纸，2桶/箱</t>
  </si>
  <si>
    <t>PO/SI00172</t>
  </si>
  <si>
    <t>POHK-25-21936</t>
  </si>
  <si>
    <t>XSDD000155</t>
  </si>
  <si>
    <t>2/28下四川</t>
  </si>
  <si>
    <t>PO/SW00041</t>
  </si>
  <si>
    <t>POHK-25-21138</t>
  </si>
  <si>
    <t>XSDD000048</t>
  </si>
  <si>
    <t>2026/4/7
旧桶</t>
  </si>
  <si>
    <t>POHK-26-01374</t>
  </si>
  <si>
    <t>XSDD000125</t>
  </si>
  <si>
    <t>3/11订
余1375</t>
  </si>
  <si>
    <t>5/12出1064
5/23出1936，交清</t>
  </si>
  <si>
    <t>46134-TAR-2A-002-HT0</t>
  </si>
  <si>
    <t>POHK-26-10550</t>
  </si>
  <si>
    <t>XSDD000924</t>
  </si>
  <si>
    <t>10001863953-0581</t>
  </si>
  <si>
    <t>POHK-26-10553</t>
  </si>
  <si>
    <t>XSDD000925</t>
  </si>
  <si>
    <t>10001863954-0581</t>
  </si>
  <si>
    <t>POHK-26-10558</t>
  </si>
  <si>
    <t>XSDD000926</t>
  </si>
  <si>
    <t>10001863955-0581</t>
  </si>
  <si>
    <t>SCHK-26-19272</t>
  </si>
  <si>
    <t>10002078812-0581</t>
  </si>
  <si>
    <t>SCHK-26-19270</t>
  </si>
  <si>
    <t>10002078810-0581</t>
  </si>
  <si>
    <t>2026年 #46133 小美人鱼系列 订单汇总表</t>
  </si>
  <si>
    <t>库存6700套</t>
  </si>
  <si>
    <t>46133-000-1A-002-HT0</t>
  </si>
  <si>
    <t>POHK-26-04832</t>
  </si>
  <si>
    <t>XSDD000392</t>
  </si>
  <si>
    <t>10001773870-0581</t>
  </si>
  <si>
    <t>46133-TAR-2A-002-HT0</t>
  </si>
  <si>
    <t>Comsed Plc.</t>
  </si>
  <si>
    <t>POHK-26-04331</t>
  </si>
  <si>
    <t>XSDD000263</t>
  </si>
  <si>
    <t>5款公仔各1PCS/桶+吊牌+客供贴纸，2桶/箱</t>
  </si>
  <si>
    <t>POHK-26-08474</t>
  </si>
  <si>
    <t>XSDD000396</t>
  </si>
  <si>
    <t>00186-R0-FRA</t>
  </si>
  <si>
    <t>46133-000-2C-002-HT0</t>
  </si>
  <si>
    <t>POHK-26-10556</t>
  </si>
  <si>
    <t>XSDD000661</t>
  </si>
  <si>
    <t>6/21下</t>
  </si>
  <si>
    <t>10001863949-0581</t>
  </si>
  <si>
    <t>POHK-26-10551</t>
  </si>
  <si>
    <t>XSDD000662</t>
  </si>
  <si>
    <t>10001863957-0581</t>
  </si>
  <si>
    <t>POHK-26-10555</t>
  </si>
  <si>
    <t>XSDD000852</t>
  </si>
  <si>
    <t>10001863951-0581</t>
  </si>
  <si>
    <t>POHK-26-16839</t>
  </si>
  <si>
    <t>XSDD000868</t>
  </si>
  <si>
    <t>8/27下</t>
  </si>
  <si>
    <r>
      <rPr>
        <sz val="9"/>
        <color theme="1"/>
        <rFont val="宋体"/>
        <charset val="134"/>
      </rPr>
      <t>5款公仔各1PCS/桶+CE贴纸+8L吊牌/</t>
    </r>
    <r>
      <rPr>
        <sz val="9"/>
        <color rgb="FFFF0000"/>
        <rFont val="宋体"/>
        <charset val="134"/>
      </rPr>
      <t>邮包盒（8/8下）</t>
    </r>
    <r>
      <rPr>
        <sz val="9"/>
        <rFont val="宋体"/>
        <charset val="134"/>
      </rPr>
      <t>+客供贴纸</t>
    </r>
    <r>
      <rPr>
        <sz val="9"/>
        <color theme="1"/>
        <rFont val="宋体"/>
        <charset val="134"/>
      </rPr>
      <t>，2个邮包盒/箱+客供贴纸</t>
    </r>
  </si>
  <si>
    <t>8/26运输OK</t>
  </si>
  <si>
    <t>46133-TVU-2B-002-HTM</t>
  </si>
  <si>
    <t xml:space="preserve"> 10002078810-0581</t>
  </si>
  <si>
    <t>SCHK-26-19250</t>
  </si>
  <si>
    <t>10002079333-3891</t>
  </si>
  <si>
    <t>2026年 #46132 赛车总动员系列 订单汇总表</t>
  </si>
  <si>
    <r>
      <rPr>
        <sz val="11"/>
        <rFont val="宋体"/>
        <charset val="134"/>
      </rPr>
      <t>吸塑</t>
    </r>
    <r>
      <rPr>
        <sz val="8"/>
        <rFont val="宋体"/>
        <charset val="134"/>
      </rPr>
      <t>（上中下）</t>
    </r>
  </si>
  <si>
    <t>使用PO14764取消订单转入
POHK-25-18396</t>
  </si>
  <si>
    <t>12-19下四川</t>
  </si>
  <si>
    <r>
      <rPr>
        <sz val="9"/>
        <color theme="1"/>
        <rFont val="宋体"/>
        <charset val="134"/>
      </rPr>
      <t>5款公仔各1PCS/桶+旧</t>
    </r>
    <r>
      <rPr>
        <sz val="9"/>
        <color rgb="FFFF0000"/>
        <rFont val="宋体"/>
        <charset val="134"/>
      </rPr>
      <t>吊牌+产品贴纸+信息吊牌（11/20订）</t>
    </r>
    <r>
      <rPr>
        <sz val="9"/>
        <color theme="1"/>
        <rFont val="宋体"/>
        <charset val="134"/>
      </rPr>
      <t>，2桶/箱</t>
    </r>
  </si>
  <si>
    <t>00088-R0-UK</t>
  </si>
  <si>
    <t>46132-000-1A-002-HT0</t>
  </si>
  <si>
    <t>POHK-25-15043</t>
  </si>
  <si>
    <t xml:space="preserve">9/4订购 </t>
  </si>
  <si>
    <t>5款公仔各1PCS/桶+旧吊牌+进口商吊牌（8/26），2桶/箱+条码贴纸（8/21）</t>
  </si>
  <si>
    <t>发塘厦，2515578</t>
  </si>
  <si>
    <t>使用PO-14764取消订单转入
POHK-25-18337</t>
  </si>
  <si>
    <t>1/13下四川</t>
  </si>
  <si>
    <t>2835KTY01</t>
  </si>
  <si>
    <t>5款公仔各1PCS/桶+旧吊牌+进口商吊牌，2桶/箱+条码贴纸</t>
  </si>
  <si>
    <t>使用PO-14764取消订单转入
POHK-25-18458</t>
  </si>
  <si>
    <t>POHK-26-01369</t>
  </si>
  <si>
    <t>XSDD000114</t>
  </si>
  <si>
    <t>5/12出3000
5/23出3000，交清</t>
  </si>
  <si>
    <t>46132-000-2C-002-HT0</t>
  </si>
  <si>
    <t>5/13出96
5/15出1904，交清</t>
  </si>
  <si>
    <t>POHK-26-02902</t>
  </si>
  <si>
    <t>XSDD000252</t>
  </si>
  <si>
    <t>6/2出3660；6/15出1376，交清</t>
  </si>
  <si>
    <t>POHK-26-03482</t>
  </si>
  <si>
    <t>XSDD000254</t>
  </si>
  <si>
    <t>5款公仔各1PCS/桶+8L吊牌+客供CE贴纸，2桶/箱</t>
  </si>
  <si>
    <t>02460228/1</t>
  </si>
  <si>
    <t>43132-000-2C-002-HT0</t>
  </si>
  <si>
    <t>POHK-26-03484</t>
  </si>
  <si>
    <t>02460286/1</t>
  </si>
  <si>
    <t>POHK-26-02904</t>
  </si>
  <si>
    <t>XSDD000251</t>
  </si>
  <si>
    <t>2026/6/23出1280；7/1出2372，交清</t>
  </si>
  <si>
    <t xml:space="preserve"> 10001806442-0581</t>
  </si>
  <si>
    <t xml:space="preserve"> 46132-TAR-2A-002-HT0</t>
  </si>
  <si>
    <t>46132-TAR-2A-002-HT0</t>
  </si>
  <si>
    <t>PRG Italy</t>
  </si>
  <si>
    <t>POHK-26-09373</t>
  </si>
  <si>
    <t>XSDD000431</t>
  </si>
  <si>
    <t>LOT2625</t>
  </si>
  <si>
    <t>5款公仔各1PCS/桶+CE贴纸+8L吊牌+进口商贴纸，2桶/箱</t>
  </si>
  <si>
    <t>POHK-26-02906</t>
  </si>
  <si>
    <t>POHK-26-02908</t>
  </si>
  <si>
    <t>XSDD000249</t>
  </si>
  <si>
    <t>POHK-26-03485</t>
  </si>
  <si>
    <t>XSDD000260</t>
  </si>
  <si>
    <t>02460296/1</t>
  </si>
  <si>
    <t>POHK-26-03481</t>
  </si>
  <si>
    <t>02460160/1</t>
  </si>
  <si>
    <t>POHK-26-02911</t>
  </si>
  <si>
    <t>XSDD000248</t>
  </si>
  <si>
    <t>免第三方</t>
  </si>
  <si>
    <t>POHK-26-14840</t>
  </si>
  <si>
    <t>XSDD000855</t>
  </si>
  <si>
    <t>00112-R0-UK</t>
  </si>
  <si>
    <t>POHK-26-17714</t>
  </si>
  <si>
    <t>XSDD000931</t>
  </si>
  <si>
    <t>9/3下</t>
  </si>
  <si>
    <t>5款公仔各1PCS/桶+CE贴纸+8L吊牌+胶袋（热封）+贴纸，2桶/箱+贴纸</t>
  </si>
  <si>
    <t>9/15约运输</t>
  </si>
  <si>
    <t>63Z26BMQ</t>
  </si>
  <si>
    <t>46132-000-2D-002-HPG</t>
  </si>
  <si>
    <t>65TSRFHF</t>
  </si>
  <si>
    <t>Amazon Germany</t>
  </si>
  <si>
    <t>POHK-26-17720</t>
  </si>
  <si>
    <t>XSDD000932</t>
  </si>
  <si>
    <t>3B7F1WCA</t>
  </si>
  <si>
    <t>POHK-26-18079</t>
  </si>
  <si>
    <t>XSDD000949</t>
  </si>
  <si>
    <t>5款公仔各1PCS/桶+CE贴纸+8L吊牌+胶袋（热封），2桶/箱+贴纸</t>
  </si>
  <si>
    <t>3KNRHLXW</t>
  </si>
  <si>
    <t>MA26010</t>
  </si>
  <si>
    <t>POHK-26-18140</t>
  </si>
  <si>
    <t>XSDD000951</t>
  </si>
  <si>
    <t>3MMNDITA</t>
  </si>
  <si>
    <t>POHK-26-18348</t>
  </si>
  <si>
    <t>XSDD000982</t>
  </si>
  <si>
    <t>2WWVP5FH</t>
  </si>
  <si>
    <t>POHK-26-18882</t>
  </si>
  <si>
    <t>XSDD001000</t>
  </si>
  <si>
    <t>MA26011</t>
  </si>
  <si>
    <t>12CW5JJP</t>
  </si>
  <si>
    <t>75C9BELW</t>
  </si>
  <si>
    <t>Morrison, UK</t>
  </si>
  <si>
    <t>DDD9/18</t>
  </si>
  <si>
    <t>SCHK-26-19259</t>
  </si>
  <si>
    <t>10002079245-3891</t>
  </si>
  <si>
    <t>SCHK-26-19260</t>
  </si>
  <si>
    <t>10002079244-3890</t>
  </si>
  <si>
    <t>客批MO余数</t>
  </si>
  <si>
    <t>2026年 #46099 米奇老鼠系列 订单汇总表</t>
  </si>
  <si>
    <t>POHK-25-14760</t>
  </si>
  <si>
    <t>10/23订购</t>
  </si>
  <si>
    <r>
      <rPr>
        <sz val="9"/>
        <color theme="1"/>
        <rFont val="宋体"/>
        <charset val="134"/>
      </rPr>
      <t>5款公仔各1PCS/桶+</t>
    </r>
    <r>
      <rPr>
        <b/>
        <sz val="9"/>
        <color rgb="FFFF0000"/>
        <rFont val="宋体"/>
        <charset val="134"/>
      </rPr>
      <t>新吊牌</t>
    </r>
    <r>
      <rPr>
        <sz val="9"/>
        <color theme="1"/>
        <rFont val="宋体"/>
        <charset val="134"/>
      </rPr>
      <t>，2桶/箱+条码贴纸（8/26）</t>
    </r>
  </si>
  <si>
    <t>10001471764-3890</t>
  </si>
  <si>
    <t>46099-TAR-2A-002-HT0</t>
  </si>
  <si>
    <t>46099-000-1A-002-HT0</t>
  </si>
  <si>
    <t>SCHK-25-21936</t>
  </si>
  <si>
    <t>Toyrrific Ltd.</t>
  </si>
  <si>
    <t>POHK-25-22116</t>
  </si>
  <si>
    <t>XSDD000124</t>
  </si>
  <si>
    <t>5款公仔各1PCS/桶+圆形黄贴纸+白色贴纸+8L吊牌，2桶/箱</t>
  </si>
  <si>
    <t>46099-000-2C-002-HT0</t>
  </si>
  <si>
    <t xml:space="preserve">GRUPPO GIODICART </t>
  </si>
  <si>
    <t>POHK-26-05382</t>
  </si>
  <si>
    <t>XSDD000327</t>
  </si>
  <si>
    <t>GRUPPO_MARCH</t>
  </si>
  <si>
    <t>Spectron
Netherland</t>
  </si>
  <si>
    <t>Moustakas Toys</t>
  </si>
  <si>
    <t>POHK-26-10363</t>
  </si>
  <si>
    <t>XSDD000651</t>
  </si>
  <si>
    <r>
      <rPr>
        <sz val="9"/>
        <rFont val="宋体"/>
        <charset val="134"/>
      </rPr>
      <t>5款公仔各1PCS/桶+客供CE贴纸+8L吊牌+</t>
    </r>
    <r>
      <rPr>
        <sz val="9"/>
        <color rgb="FFFF0000"/>
        <rFont val="宋体"/>
        <charset val="134"/>
      </rPr>
      <t>客供CE贴纸</t>
    </r>
    <r>
      <rPr>
        <sz val="9"/>
        <rFont val="宋体"/>
        <charset val="134"/>
      </rPr>
      <t>+客供警告语贴纸，2桶/箱</t>
    </r>
  </si>
  <si>
    <t>46099-000-2B-002-HTM</t>
  </si>
  <si>
    <t>PT MAP (Indonesia)</t>
  </si>
  <si>
    <t>POHK-26-12104</t>
  </si>
  <si>
    <t>XSDD000814</t>
  </si>
  <si>
    <r>
      <rPr>
        <sz val="9"/>
        <rFont val="宋体"/>
        <charset val="134"/>
      </rPr>
      <t>5款公仔各1PCS/桶+8L吊牌</t>
    </r>
    <r>
      <rPr>
        <sz val="9"/>
        <color rgb="FFFF0000"/>
        <rFont val="宋体"/>
        <charset val="134"/>
      </rPr>
      <t>+客供进口商贴纸（实物为吊牌）</t>
    </r>
    <r>
      <rPr>
        <sz val="9"/>
        <rFont val="宋体"/>
        <charset val="134"/>
      </rPr>
      <t>，2桶/箱</t>
    </r>
  </si>
  <si>
    <t>2026/8/20
70%抽板</t>
  </si>
  <si>
    <t>PT MAP</t>
  </si>
  <si>
    <t>SCHK-26-10558</t>
  </si>
  <si>
    <t>POHK-26-18372</t>
  </si>
  <si>
    <t>XSDD001002</t>
  </si>
  <si>
    <t>00123-R0-UK</t>
  </si>
  <si>
    <t>扣库存后9/9下单</t>
  </si>
  <si>
    <t>5款公仔各1PCS/桶+8L吊牌，2桶/箱+条码贴纸</t>
  </si>
  <si>
    <t>Smyths GERMANY</t>
  </si>
  <si>
    <t>2026年 #46097 小熊维尼历险记系列 订单汇总表</t>
  </si>
  <si>
    <t>POHK-25-18396</t>
  </si>
  <si>
    <t>46097-000-1A-002-HT0</t>
  </si>
  <si>
    <t>POHK-25-15054</t>
  </si>
  <si>
    <t>5款公仔各1PCS/桶+旧吊牌+进口商吊牌（8/26），2桶/箱+条码贴纸(8/21)</t>
  </si>
  <si>
    <t>POHK-25-01370</t>
  </si>
  <si>
    <t>XSDD000132</t>
  </si>
  <si>
    <t>3/23订</t>
  </si>
  <si>
    <t>5/12出1794，
5/23出3206，交清</t>
  </si>
  <si>
    <t xml:space="preserve">	2581425</t>
  </si>
  <si>
    <t>46097-000-2C-002-HT0</t>
  </si>
  <si>
    <t>MA06001</t>
  </si>
  <si>
    <t>46097-TAR-2A-002-HT0</t>
  </si>
  <si>
    <t>POHK-26-13235</t>
  </si>
  <si>
    <t>XSDD000593</t>
  </si>
  <si>
    <t>5款公仔各1PCS/桶+CE贴纸+8L吊牌+客供RFID贴纸，2桶/箱+客供外箱贴纸</t>
  </si>
  <si>
    <t>POHK-26-13237</t>
  </si>
  <si>
    <t>XSDD000590</t>
  </si>
  <si>
    <t>POHK-26-16841</t>
  </si>
  <si>
    <t>XSDD000869</t>
  </si>
  <si>
    <t xml:space="preserve"> 46097-TVU-2B-002-HTM</t>
  </si>
  <si>
    <t>扣库存后8/7下单</t>
  </si>
  <si>
    <t>扣库存后8/8下单</t>
  </si>
  <si>
    <t>46097-000-2D-002-HPG</t>
  </si>
  <si>
    <t>Amazon France</t>
  </si>
  <si>
    <t>POHK-26-18121</t>
  </si>
  <si>
    <t>XSDD000950</t>
  </si>
  <si>
    <t>2IFO9YGS</t>
  </si>
  <si>
    <t>Amazon  Germany</t>
  </si>
  <si>
    <t>3WIZHPXX</t>
  </si>
  <si>
    <t>Amazon  Spain</t>
  </si>
  <si>
    <t>POHK-26-18279</t>
  </si>
  <si>
    <t>XSDD000952</t>
  </si>
  <si>
    <t>89SUSZ5A</t>
  </si>
  <si>
    <t>2026年 #46094 漫威系列 订单汇总表</t>
  </si>
  <si>
    <t>46094-1
黑豹</t>
  </si>
  <si>
    <t>46094-2
美国队长</t>
  </si>
  <si>
    <t>46094-3
绿巨人</t>
  </si>
  <si>
    <t>46094-4 
蜘蛛侠</t>
  </si>
  <si>
    <t>46094-5
钢铁侠</t>
  </si>
  <si>
    <t>从PO14758取消订单转入
POHK-25-14726</t>
  </si>
  <si>
    <t>5款公仔各1PCS/桶+新吊牌，2桶/箱+条码贴纸</t>
  </si>
  <si>
    <t>10001471956-3891</t>
  </si>
  <si>
    <t>46094-TAR-2A-002-HT0</t>
  </si>
  <si>
    <r>
      <rPr>
        <sz val="9"/>
        <color theme="1"/>
        <rFont val="宋体"/>
        <charset val="134"/>
      </rPr>
      <t xml:space="preserve">POHK-26-02891
</t>
    </r>
    <r>
      <rPr>
        <sz val="9"/>
        <color rgb="FFFF0000"/>
        <rFont val="宋体"/>
        <charset val="134"/>
      </rPr>
      <t>3/10取消3064套</t>
    </r>
  </si>
  <si>
    <t>XSDD000133</t>
  </si>
  <si>
    <t>46094-000-2C-002-HT0</t>
  </si>
  <si>
    <t>POHK-26-02888</t>
  </si>
  <si>
    <t>XSDD000156</t>
  </si>
  <si>
    <t>POHK-26-01451</t>
  </si>
  <si>
    <t>XSDD000137</t>
  </si>
  <si>
    <t>2026/6/23出2100；7/1出3900，交清</t>
  </si>
  <si>
    <t>POHK-26-02893</t>
  </si>
  <si>
    <t>XSDD000134</t>
  </si>
  <si>
    <t>POHK-26-02895</t>
  </si>
  <si>
    <t>XSDD000135</t>
  </si>
  <si>
    <t>POHK-26-02897</t>
  </si>
  <si>
    <t>XSDD000136</t>
  </si>
  <si>
    <t>2026年 #46092 玩具总动员系列 订单汇总表</t>
  </si>
  <si>
    <t>1A用旧吊牌，2A用新吊牌</t>
  </si>
  <si>
    <t>46092-000-1A-002-HT0</t>
  </si>
  <si>
    <t>11/11下四川</t>
  </si>
  <si>
    <t>11/10四川订</t>
  </si>
  <si>
    <t>11/10订</t>
  </si>
  <si>
    <r>
      <rPr>
        <sz val="9"/>
        <color theme="1"/>
        <rFont val="宋体"/>
        <charset val="134"/>
      </rPr>
      <t>5款公仔各1PCS/桶+</t>
    </r>
    <r>
      <rPr>
        <sz val="9"/>
        <color rgb="FFFF0000"/>
        <rFont val="宋体"/>
        <charset val="134"/>
      </rPr>
      <t>新吊牌</t>
    </r>
    <r>
      <rPr>
        <sz val="9"/>
        <color theme="1"/>
        <rFont val="宋体"/>
        <charset val="134"/>
      </rPr>
      <t>，2桶/箱+条码贴纸</t>
    </r>
  </si>
  <si>
    <t>POHK-25-15081</t>
  </si>
  <si>
    <t>10001479341-3891</t>
  </si>
  <si>
    <t>46092-TAR-2A-002-HT0</t>
  </si>
  <si>
    <t>POHK-25-15044</t>
  </si>
  <si>
    <t>发塘厦，2515579</t>
  </si>
  <si>
    <t>POHK-25-15085</t>
  </si>
  <si>
    <t>10001479339-3890</t>
  </si>
  <si>
    <t>POHK-25-18458</t>
  </si>
  <si>
    <t>12/30下四川</t>
  </si>
  <si>
    <t>POHK-25-18339</t>
  </si>
  <si>
    <t>POHK-25-14741</t>
  </si>
  <si>
    <t>XSDD000012</t>
  </si>
  <si>
    <r>
      <rPr>
        <sz val="9"/>
        <color theme="1"/>
        <rFont val="宋体"/>
        <charset val="134"/>
      </rPr>
      <t>5款公仔各1PCS/桶+</t>
    </r>
    <r>
      <rPr>
        <sz val="9"/>
        <color rgb="FFFF0000"/>
        <rFont val="宋体"/>
        <charset val="134"/>
      </rPr>
      <t>新吊牌</t>
    </r>
    <r>
      <rPr>
        <sz val="9"/>
        <color theme="1"/>
        <rFont val="宋体"/>
        <charset val="134"/>
      </rPr>
      <t>，2桶/箱+条码贴纸（1/8寄）</t>
    </r>
  </si>
  <si>
    <t>10001471896-3890</t>
  </si>
  <si>
    <t>1/9订购</t>
  </si>
  <si>
    <t>POHK-26-01377</t>
  </si>
  <si>
    <t>XSDD000126</t>
  </si>
  <si>
    <t>5/12出2278，
5/23出3722，交清</t>
  </si>
  <si>
    <t>46092-000-2C-002-HT0</t>
  </si>
  <si>
    <t>POHK-26-02865</t>
  </si>
  <si>
    <t>XSDD000259</t>
  </si>
  <si>
    <t>6/2出2180，6/15出3826，交清</t>
  </si>
  <si>
    <t>POHK-26-05187</t>
  </si>
  <si>
    <t>XSDD000435</t>
  </si>
  <si>
    <t>02467220/1</t>
  </si>
  <si>
    <t>POHK-26-05188</t>
  </si>
  <si>
    <t>XSDD000434</t>
  </si>
  <si>
    <t>02467221/1</t>
  </si>
  <si>
    <t>POHK-26-02866</t>
  </si>
  <si>
    <t>XSDD000258</t>
  </si>
  <si>
    <t>2026/6/23出1714；7/1出3186,交清</t>
  </si>
  <si>
    <t>Farmers
(NZ)</t>
  </si>
  <si>
    <t>5/21下</t>
  </si>
  <si>
    <t>POHK-26-05189</t>
  </si>
  <si>
    <t>XSDD000436</t>
  </si>
  <si>
    <t>5款公仔各1PCS/桶+客供CE贴纸+8L吊牌，2桶/箱</t>
  </si>
  <si>
    <t>02467222/1</t>
  </si>
  <si>
    <t>POHK-26-06473</t>
  </si>
  <si>
    <t>XSDD000650</t>
  </si>
  <si>
    <t>10001800521-0581</t>
  </si>
  <si>
    <t>5/21订
6/3订</t>
  </si>
  <si>
    <t>POHK-26-02868</t>
  </si>
  <si>
    <t>XSDD000255</t>
  </si>
  <si>
    <t>POHK-26-02869</t>
  </si>
  <si>
    <t>XSDD000257</t>
  </si>
  <si>
    <t>2166KTY01</t>
  </si>
  <si>
    <t>POHK-26-09049</t>
  </si>
  <si>
    <t>XSDD000489</t>
  </si>
  <si>
    <t>374套用库存
7/2订</t>
  </si>
  <si>
    <t>02511867/1</t>
  </si>
  <si>
    <t>POHK-26-02886</t>
  </si>
  <si>
    <t>XSDD000256</t>
  </si>
  <si>
    <t>5款公仔各1PCS/桶+8吊牌，2桶/箱</t>
  </si>
  <si>
    <t>POHK-26-10558
8/26取消1500套</t>
  </si>
  <si>
    <t>MA26009，
取消</t>
  </si>
  <si>
    <t>POHK-26-16834</t>
  </si>
  <si>
    <t>XSDD000866</t>
  </si>
  <si>
    <t>46092-000-2B-002-HTM</t>
  </si>
  <si>
    <t>POHK-26-15579</t>
  </si>
  <si>
    <t>XSDD000832</t>
  </si>
  <si>
    <t>8/31下</t>
  </si>
  <si>
    <t>00115-R0-UK</t>
  </si>
  <si>
    <t>吸塑片用库存</t>
  </si>
  <si>
    <t>8GKHOMQA</t>
  </si>
  <si>
    <t>46092-000-2D-002-HPG</t>
  </si>
  <si>
    <t>扣库存</t>
  </si>
  <si>
    <t>POHK-26-18693</t>
  </si>
  <si>
    <t>XSDD000983</t>
  </si>
  <si>
    <t>61W9959S</t>
  </si>
  <si>
    <t>扣库存后下单，MA26010</t>
  </si>
  <si>
    <t>8X2KBBTO</t>
  </si>
  <si>
    <t>6A6VJH8F</t>
  </si>
  <si>
    <t>MA26013</t>
  </si>
  <si>
    <t>扣库存后下单</t>
  </si>
  <si>
    <t>物料库存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</si>
</sst>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yyyy&quot;年&quot;m&quot;月&quot;d&quot;日&quot;;@"/>
    <numFmt numFmtId="178" formatCode="yyyy/m/d;@"/>
    <numFmt numFmtId="179" formatCode="&quot;SWPOHK-19-&quot;00000"/>
    <numFmt numFmtId="180" formatCode="0_ "/>
    <numFmt numFmtId="181" formatCode="0.00_);[Red]\(0.00\)"/>
    <numFmt numFmtId="182" formatCode="0_);[Red]\(0\)"/>
    <numFmt numFmtId="183" formatCode="#,##0_ "/>
    <numFmt numFmtId="184" formatCode="0.00_ "/>
    <numFmt numFmtId="185" formatCode="#,##0_);[Red]\(#,##0\)"/>
    <numFmt numFmtId="186" formatCode="#,##0_ ;[Red]\-#,##0\ "/>
    <numFmt numFmtId="187" formatCode="0.0_ "/>
  </numFmts>
  <fonts count="79">
    <font>
      <sz val="12"/>
      <color theme="1"/>
      <name val="宋体"/>
      <charset val="134"/>
    </font>
    <font>
      <sz val="11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sz val="9"/>
      <color indexed="65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0"/>
      <color rgb="FFFF0000"/>
      <name val="宋体"/>
      <charset val="134"/>
    </font>
    <font>
      <sz val="8"/>
      <name val="宋体"/>
      <charset val="134"/>
    </font>
    <font>
      <sz val="9"/>
      <color rgb="FFFF0000"/>
      <name val="宋体"/>
      <charset val="134"/>
    </font>
    <font>
      <b/>
      <sz val="9"/>
      <color rgb="FFFF0000"/>
      <name val="宋体"/>
      <charset val="134"/>
    </font>
    <font>
      <b/>
      <sz val="9"/>
      <name val="宋体"/>
      <charset val="134"/>
    </font>
    <font>
      <b/>
      <sz val="9"/>
      <color theme="1"/>
      <name val="宋体"/>
      <charset val="134"/>
    </font>
    <font>
      <sz val="8"/>
      <color theme="1"/>
      <name val="宋体"/>
      <charset val="134"/>
    </font>
    <font>
      <b/>
      <sz val="10"/>
      <name val="宋体"/>
      <charset val="134"/>
    </font>
    <font>
      <b/>
      <sz val="12"/>
      <color theme="1"/>
      <name val="宋体"/>
      <charset val="134"/>
    </font>
    <font>
      <sz val="8"/>
      <color rgb="FF333333"/>
      <name val="Arial"/>
      <charset val="134"/>
    </font>
    <font>
      <sz val="11"/>
      <color theme="1"/>
      <name val="宋体"/>
      <charset val="134"/>
    </font>
    <font>
      <sz val="9"/>
      <color rgb="FFEE0000"/>
      <name val="宋体"/>
      <charset val="134"/>
    </font>
    <font>
      <sz val="12"/>
      <name val="宋体"/>
      <charset val="134"/>
    </font>
    <font>
      <b/>
      <sz val="11"/>
      <name val="宋体"/>
      <charset val="134"/>
    </font>
    <font>
      <sz val="9"/>
      <color indexed="2"/>
      <name val="宋体"/>
      <charset val="134"/>
    </font>
    <font>
      <sz val="10"/>
      <color theme="1"/>
      <name val="宋体"/>
      <charset val="134"/>
    </font>
    <font>
      <sz val="9"/>
      <color rgb="FF0D0D0D"/>
      <name val="宋体"/>
      <charset val="134"/>
    </font>
    <font>
      <sz val="12"/>
      <color theme="0" tint="-0.249977111117893"/>
      <name val="宋体"/>
      <charset val="134"/>
    </font>
    <font>
      <sz val="12"/>
      <color theme="0" tint="-0.499984740745262"/>
      <name val="宋体"/>
      <charset val="134"/>
    </font>
    <font>
      <sz val="9"/>
      <color rgb="FF000000"/>
      <name val="宋体"/>
      <charset val="134"/>
    </font>
    <font>
      <sz val="12"/>
      <color rgb="FF000000"/>
      <name val="宋体"/>
      <charset val="134"/>
    </font>
    <font>
      <sz val="9"/>
      <color rgb="FFFFFFFF"/>
      <name val="宋体"/>
      <charset val="134"/>
    </font>
    <font>
      <sz val="10"/>
      <color rgb="FF000000"/>
      <name val="Arial"/>
      <charset val="134"/>
    </font>
    <font>
      <sz val="9"/>
      <color theme="0"/>
      <name val="宋体"/>
      <charset val="134"/>
    </font>
    <font>
      <sz val="10"/>
      <color rgb="FFFF0000"/>
      <name val="宋体"/>
      <charset val="134"/>
    </font>
    <font>
      <sz val="9"/>
      <color rgb="FFED0000"/>
      <name val="宋体"/>
      <charset val="134"/>
    </font>
    <font>
      <sz val="12"/>
      <color rgb="FFFF0000"/>
      <name val="宋体"/>
      <charset val="134"/>
    </font>
    <font>
      <sz val="12"/>
      <color theme="1" tint="0.499984740745262"/>
      <name val="宋体"/>
      <charset val="134"/>
    </font>
    <font>
      <b/>
      <sz val="9"/>
      <color rgb="FF7F4578"/>
      <name val="宋体"/>
      <charset val="134"/>
    </font>
    <font>
      <sz val="9"/>
      <color rgb="FF000000"/>
      <name val="Aptos Narrow"/>
      <charset val="134"/>
    </font>
    <font>
      <b/>
      <sz val="9"/>
      <color indexed="2"/>
      <name val="宋体"/>
      <charset val="134"/>
    </font>
    <font>
      <sz val="11"/>
      <color rgb="FF000000"/>
      <name val="Arial"/>
      <charset val="134"/>
      <scheme val="minor"/>
    </font>
    <font>
      <b/>
      <sz val="10"/>
      <color theme="1"/>
      <name val="宋体"/>
      <charset val="134"/>
    </font>
    <font>
      <sz val="10"/>
      <color theme="0"/>
      <name val="宋体"/>
      <charset val="134"/>
    </font>
    <font>
      <sz val="10"/>
      <color theme="0" tint="-0.146671956541643"/>
      <name val="宋体"/>
      <charset val="134"/>
    </font>
    <font>
      <sz val="12"/>
      <color theme="0" tint="-0.146671956541643"/>
      <name val="宋体"/>
      <charset val="134"/>
    </font>
    <font>
      <sz val="9"/>
      <color indexed="9"/>
      <name val="宋体"/>
      <charset val="134"/>
    </font>
    <font>
      <b/>
      <sz val="9"/>
      <color indexed="65"/>
      <name val="宋体"/>
      <charset val="134"/>
    </font>
    <font>
      <sz val="10"/>
      <color rgb="FF000000"/>
      <name val="Verdana"/>
      <charset val="134"/>
    </font>
    <font>
      <sz val="9"/>
      <color theme="1"/>
      <name val="Arial"/>
      <charset val="134"/>
      <scheme val="major"/>
    </font>
    <font>
      <sz val="11"/>
      <name val="Arial"/>
      <charset val="134"/>
      <scheme val="major"/>
    </font>
    <font>
      <sz val="9"/>
      <name val="Arial"/>
      <charset val="134"/>
      <scheme val="major"/>
    </font>
    <font>
      <sz val="9"/>
      <color indexed="65"/>
      <name val="Arial"/>
      <charset val="134"/>
      <scheme val="major"/>
    </font>
    <font>
      <sz val="9"/>
      <color rgb="FF000000"/>
      <name val="Aptos"/>
      <charset val="134"/>
    </font>
    <font>
      <sz val="12"/>
      <color theme="0"/>
      <name val="宋体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i/>
      <sz val="12"/>
      <color indexed="23"/>
      <name val="宋体"/>
      <charset val="134"/>
    </font>
    <font>
      <sz val="12"/>
      <color indexed="60"/>
      <name val="宋体"/>
      <charset val="134"/>
    </font>
    <font>
      <b/>
      <sz val="18"/>
      <color rgb="FFFF000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98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0499893185216834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27"/>
        <bgColor indexed="27"/>
      </patternFill>
    </fill>
    <fill>
      <patternFill patternType="solid">
        <fgColor indexed="45"/>
        <bgColor indexed="45"/>
      </patternFill>
    </fill>
    <fill>
      <patternFill patternType="solid">
        <fgColor indexed="17"/>
        <bgColor indexed="17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theme="0" tint="-0.146671956541643"/>
      </patternFill>
    </fill>
    <fill>
      <patternFill patternType="solid">
        <fgColor rgb="FF92D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theme="0" tint="-0.146671956541643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99"/>
        <bgColor indexed="43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rgb="FFBFBFBF"/>
      </patternFill>
    </fill>
    <fill>
      <patternFill patternType="solid">
        <fgColor theme="0" tint="-0.0499893185216834"/>
        <bgColor theme="0" tint="-0.249977111117893"/>
      </patternFill>
    </fill>
    <fill>
      <patternFill patternType="solid">
        <fgColor theme="6" tint="0.799340800195319"/>
        <bgColor theme="0" tint="-0.146671956541643"/>
      </patternFill>
    </fill>
    <fill>
      <patternFill patternType="solid">
        <fgColor rgb="FF92D050"/>
        <bgColor indexed="43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99CC"/>
      </patternFill>
    </fill>
    <fill>
      <patternFill patternType="solid">
        <fgColor rgb="FF008000"/>
        <bgColor rgb="FF008000"/>
      </patternFill>
    </fill>
    <fill>
      <patternFill patternType="solid">
        <fgColor rgb="FFF2F2F2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2F2F2"/>
        <bgColor rgb="FFD9D9D9"/>
      </patternFill>
    </fill>
    <fill>
      <patternFill patternType="solid">
        <fgColor theme="6" tint="0.799340800195319"/>
        <bgColor theme="0" tint="-0.249977111117893"/>
      </patternFill>
    </fill>
    <fill>
      <patternFill patternType="solid">
        <fgColor rgb="FFFFFF00"/>
        <bgColor theme="0" tint="-0.146671956541643"/>
      </patternFill>
    </fill>
    <fill>
      <patternFill patternType="solid">
        <fgColor rgb="FFFFFFFF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rgb="FFF2F2F2"/>
        <bgColor theme="0" tint="-0.249977111117893"/>
      </patternFill>
    </fill>
    <fill>
      <patternFill patternType="solid">
        <fgColor rgb="FFF2F2F2"/>
        <bgColor indexed="22"/>
      </patternFill>
    </fill>
    <fill>
      <patternFill patternType="solid">
        <fgColor rgb="FFFFFF00"/>
        <bgColor theme="0" tint="-0.249977111117893"/>
      </patternFill>
    </fill>
    <fill>
      <patternFill patternType="solid">
        <fgColor theme="0" tint="-0.14981536301767"/>
        <bgColor indexed="64"/>
      </patternFill>
    </fill>
    <fill>
      <patternFill patternType="solid">
        <fgColor indexed="5"/>
        <bgColor indexed="5"/>
      </patternFill>
    </fill>
    <fill>
      <patternFill patternType="solid">
        <fgColor theme="0" tint="-0.14975432599871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rgb="FF92D050"/>
        <bgColor theme="0" tint="-0.146671956541643"/>
      </patternFill>
    </fill>
    <fill>
      <patternFill patternType="solid">
        <fgColor rgb="FFFFFF00"/>
        <bgColor theme="0" tint="-0.148258919034394"/>
      </patternFill>
    </fill>
    <fill>
      <patternFill patternType="solid">
        <fgColor theme="0" tint="-0.0499893185216834"/>
        <bgColor theme="0" tint="-0.148258919034394"/>
      </patternFill>
    </fill>
    <fill>
      <patternFill patternType="solid">
        <fgColor theme="0" tint="-0.149601733451338"/>
        <bgColor indexed="22"/>
      </patternFill>
    </fill>
    <fill>
      <patternFill patternType="solid">
        <fgColor theme="6" tint="0.799676503799554"/>
        <bgColor theme="0" tint="-0.146671956541643"/>
      </patternFill>
    </fill>
    <fill>
      <patternFill patternType="solid">
        <fgColor theme="0" tint="-0.149601733451338"/>
        <bgColor indexed="64"/>
      </patternFill>
    </fill>
    <fill>
      <patternFill patternType="solid">
        <fgColor theme="0" tint="-0.14981536301767"/>
        <bgColor indexed="43"/>
      </patternFill>
    </fill>
    <fill>
      <patternFill patternType="solid">
        <fgColor theme="0" tint="-0.14969328897976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149845881527146"/>
        <bgColor indexed="43"/>
      </patternFill>
    </fill>
    <fill>
      <patternFill patternType="solid">
        <fgColor theme="8" tint="0.4"/>
        <bgColor indexed="64"/>
      </patternFill>
    </fill>
    <fill>
      <patternFill patternType="solid">
        <fgColor theme="0" tint="-0.249977111117893"/>
        <bgColor theme="0" tint="-0.146671956541643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14670247505111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52" fillId="0" borderId="0" applyFont="0" applyFill="0" applyBorder="0" applyAlignment="0" applyProtection="0">
      <alignment vertical="center"/>
    </xf>
    <xf numFmtId="44" fontId="52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2" fillId="71" borderId="55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56" applyNumberFormat="0" applyFill="0" applyAlignment="0" applyProtection="0">
      <alignment vertical="center"/>
    </xf>
    <xf numFmtId="0" fontId="59" fillId="0" borderId="56" applyNumberFormat="0" applyFill="0" applyAlignment="0" applyProtection="0">
      <alignment vertical="center"/>
    </xf>
    <xf numFmtId="0" fontId="60" fillId="0" borderId="57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72" borderId="58" applyNumberFormat="0" applyAlignment="0" applyProtection="0">
      <alignment vertical="center"/>
    </xf>
    <xf numFmtId="0" fontId="62" fillId="28" borderId="59" applyNumberFormat="0" applyAlignment="0" applyProtection="0">
      <alignment vertical="center"/>
    </xf>
    <xf numFmtId="0" fontId="63" fillId="28" borderId="58" applyNumberFormat="0" applyAlignment="0" applyProtection="0">
      <alignment vertical="center"/>
    </xf>
    <xf numFmtId="0" fontId="64" fillId="73" borderId="60" applyNumberFormat="0" applyAlignment="0" applyProtection="0">
      <alignment vertical="center"/>
    </xf>
    <xf numFmtId="0" fontId="65" fillId="0" borderId="61" applyNumberFormat="0" applyFill="0" applyAlignment="0" applyProtection="0">
      <alignment vertical="center"/>
    </xf>
    <xf numFmtId="0" fontId="66" fillId="0" borderId="62" applyNumberFormat="0" applyFill="0" applyAlignment="0" applyProtection="0">
      <alignment vertical="center"/>
    </xf>
    <xf numFmtId="0" fontId="67" fillId="74" borderId="0" applyNumberFormat="0" applyBorder="0" applyAlignment="0" applyProtection="0">
      <alignment vertical="center"/>
    </xf>
    <xf numFmtId="0" fontId="68" fillId="75" borderId="0" applyNumberFormat="0" applyBorder="0" applyAlignment="0" applyProtection="0">
      <alignment vertical="center"/>
    </xf>
    <xf numFmtId="0" fontId="69" fillId="76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0" fillId="78" borderId="0" applyNumberFormat="0" applyBorder="0" applyAlignment="0" applyProtection="0">
      <alignment vertical="center"/>
    </xf>
    <xf numFmtId="0" fontId="70" fillId="79" borderId="0" applyNumberFormat="0" applyBorder="0" applyAlignment="0" applyProtection="0">
      <alignment vertical="center"/>
    </xf>
    <xf numFmtId="0" fontId="71" fillId="80" borderId="0" applyNumberFormat="0" applyBorder="0" applyAlignment="0" applyProtection="0">
      <alignment vertical="center"/>
    </xf>
    <xf numFmtId="0" fontId="71" fillId="81" borderId="0" applyNumberFormat="0" applyBorder="0" applyAlignment="0" applyProtection="0">
      <alignment vertical="center"/>
    </xf>
    <xf numFmtId="0" fontId="70" fillId="82" borderId="0" applyNumberFormat="0" applyBorder="0" applyAlignment="0" applyProtection="0">
      <alignment vertical="center"/>
    </xf>
    <xf numFmtId="0" fontId="70" fillId="83" borderId="0" applyNumberFormat="0" applyBorder="0" applyAlignment="0" applyProtection="0">
      <alignment vertical="center"/>
    </xf>
    <xf numFmtId="0" fontId="71" fillId="84" borderId="0" applyNumberFormat="0" applyBorder="0" applyAlignment="0" applyProtection="0">
      <alignment vertical="center"/>
    </xf>
    <xf numFmtId="0" fontId="71" fillId="85" borderId="0" applyNumberFormat="0" applyBorder="0" applyAlignment="0" applyProtection="0">
      <alignment vertical="center"/>
    </xf>
    <xf numFmtId="0" fontId="70" fillId="86" borderId="0" applyNumberFormat="0" applyBorder="0" applyAlignment="0" applyProtection="0">
      <alignment vertical="center"/>
    </xf>
    <xf numFmtId="0" fontId="70" fillId="87" borderId="0" applyNumberFormat="0" applyBorder="0" applyAlignment="0" applyProtection="0">
      <alignment vertical="center"/>
    </xf>
    <xf numFmtId="0" fontId="71" fillId="88" borderId="0" applyNumberFormat="0" applyBorder="0" applyAlignment="0" applyProtection="0">
      <alignment vertical="center"/>
    </xf>
    <xf numFmtId="0" fontId="71" fillId="89" borderId="0" applyNumberFormat="0" applyBorder="0" applyAlignment="0" applyProtection="0">
      <alignment vertical="center"/>
    </xf>
    <xf numFmtId="0" fontId="70" fillId="90" borderId="0" applyNumberFormat="0" applyBorder="0" applyAlignment="0" applyProtection="0">
      <alignment vertical="center"/>
    </xf>
    <xf numFmtId="0" fontId="70" fillId="91" borderId="0" applyNumberFormat="0" applyBorder="0" applyAlignment="0" applyProtection="0">
      <alignment vertical="center"/>
    </xf>
    <xf numFmtId="0" fontId="71" fillId="92" borderId="0" applyNumberFormat="0" applyBorder="0" applyAlignment="0" applyProtection="0">
      <alignment vertical="center"/>
    </xf>
    <xf numFmtId="0" fontId="71" fillId="93" borderId="0" applyNumberFormat="0" applyBorder="0" applyAlignment="0" applyProtection="0">
      <alignment vertical="center"/>
    </xf>
    <xf numFmtId="0" fontId="70" fillId="94" borderId="0" applyNumberFormat="0" applyBorder="0" applyAlignment="0" applyProtection="0">
      <alignment vertical="center"/>
    </xf>
    <xf numFmtId="0" fontId="70" fillId="95" borderId="0" applyNumberFormat="0" applyBorder="0" applyAlignment="0" applyProtection="0">
      <alignment vertical="center"/>
    </xf>
    <xf numFmtId="0" fontId="71" fillId="96" borderId="0" applyNumberFormat="0" applyBorder="0" applyAlignment="0" applyProtection="0">
      <alignment vertical="center"/>
    </xf>
    <xf numFmtId="0" fontId="71" fillId="68" borderId="0" applyNumberFormat="0" applyBorder="0" applyAlignment="0" applyProtection="0">
      <alignment vertical="center"/>
    </xf>
    <xf numFmtId="0" fontId="70" fillId="97" borderId="0" applyNumberFormat="0" applyBorder="0" applyAlignment="0" applyProtection="0">
      <alignment vertical="center"/>
    </xf>
    <xf numFmtId="0" fontId="0" fillId="0" borderId="0">
      <alignment vertical="center"/>
    </xf>
    <xf numFmtId="0" fontId="72" fillId="0" borderId="0" applyNumberFormat="0" applyFill="0" applyBorder="0" applyProtection="0">
      <alignment vertical="center"/>
    </xf>
    <xf numFmtId="0" fontId="73" fillId="4" borderId="0" applyNumberFormat="0" applyBorder="0" applyProtection="0">
      <alignment vertical="center"/>
    </xf>
  </cellStyleXfs>
  <cellXfs count="128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 wrapText="1"/>
    </xf>
    <xf numFmtId="177" fontId="6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  <xf numFmtId="176" fontId="1" fillId="0" borderId="5" xfId="0" applyNumberFormat="1" applyFont="1" applyBorder="1" applyAlignment="1">
      <alignment horizontal="center" vertical="center" wrapText="1" shrinkToFit="1"/>
    </xf>
    <xf numFmtId="0" fontId="1" fillId="3" borderId="5" xfId="0" applyFont="1" applyFill="1" applyBorder="1" applyAlignment="1">
      <alignment horizontal="center" vertical="center" wrapText="1" shrinkToFit="1"/>
    </xf>
    <xf numFmtId="0" fontId="1" fillId="4" borderId="5" xfId="0" applyFont="1" applyFill="1" applyBorder="1" applyAlignment="1">
      <alignment horizontal="center" vertical="center" wrapText="1" shrinkToFit="1"/>
    </xf>
    <xf numFmtId="0" fontId="1" fillId="4" borderId="6" xfId="0" applyFont="1" applyFill="1" applyBorder="1" applyAlignment="1">
      <alignment horizontal="center" vertical="center" wrapText="1" shrinkToFit="1"/>
    </xf>
    <xf numFmtId="0" fontId="1" fillId="5" borderId="5" xfId="0" applyFont="1" applyFill="1" applyBorder="1" applyAlignment="1">
      <alignment horizontal="center" vertical="center" wrapText="1" shrinkToFit="1"/>
    </xf>
    <xf numFmtId="0" fontId="1" fillId="5" borderId="6" xfId="0" applyFont="1" applyFill="1" applyBorder="1" applyAlignment="1">
      <alignment horizontal="center" vertical="center" wrapText="1" shrinkToFit="1"/>
    </xf>
    <xf numFmtId="0" fontId="3" fillId="5" borderId="6" xfId="0" applyFont="1" applyFill="1" applyBorder="1" applyAlignment="1">
      <alignment horizontal="center" vertical="center" wrapText="1" shrinkToFit="1"/>
    </xf>
    <xf numFmtId="0" fontId="1" fillId="6" borderId="5" xfId="0" applyFont="1" applyFill="1" applyBorder="1" applyAlignment="1">
      <alignment horizontal="center" vertical="center" wrapText="1" shrinkToFit="1"/>
    </xf>
    <xf numFmtId="14" fontId="1" fillId="4" borderId="5" xfId="0" applyNumberFormat="1" applyFont="1" applyFill="1" applyBorder="1" applyAlignment="1">
      <alignment horizontal="center" vertical="center" wrapText="1" shrinkToFit="1"/>
    </xf>
    <xf numFmtId="14" fontId="1" fillId="7" borderId="5" xfId="0" applyNumberFormat="1" applyFont="1" applyFill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 vertical="center" wrapText="1" shrinkToFit="1"/>
    </xf>
    <xf numFmtId="0" fontId="7" fillId="8" borderId="0" xfId="0" applyFont="1" applyFill="1" applyAlignment="1">
      <alignment horizontal="center" vertical="center" wrapText="1" shrinkToFit="1"/>
    </xf>
    <xf numFmtId="0" fontId="1" fillId="0" borderId="8" xfId="0" applyFont="1" applyBorder="1" applyAlignment="1">
      <alignment horizontal="center" vertical="center" wrapText="1" shrinkToFit="1"/>
    </xf>
    <xf numFmtId="0" fontId="8" fillId="9" borderId="5" xfId="0" applyFont="1" applyFill="1" applyBorder="1" applyAlignment="1">
      <alignment horizontal="center" vertical="center" wrapText="1" shrinkToFit="1"/>
    </xf>
    <xf numFmtId="0" fontId="1" fillId="4" borderId="8" xfId="0" applyFont="1" applyFill="1" applyBorder="1" applyAlignment="1">
      <alignment horizontal="center" vertical="center" wrapText="1" shrinkToFit="1"/>
    </xf>
    <xf numFmtId="0" fontId="1" fillId="5" borderId="8" xfId="0" applyFont="1" applyFill="1" applyBorder="1" applyAlignment="1">
      <alignment horizontal="center" vertical="center" wrapText="1" shrinkToFit="1"/>
    </xf>
    <xf numFmtId="0" fontId="3" fillId="5" borderId="8" xfId="0" applyFont="1" applyFill="1" applyBorder="1" applyAlignment="1">
      <alignment horizontal="center" vertical="center" wrapText="1" shrinkToFi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176" fontId="2" fillId="10" borderId="5" xfId="0" applyNumberFormat="1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58" fontId="2" fillId="10" borderId="5" xfId="0" applyNumberFormat="1" applyFont="1" applyFill="1" applyBorder="1" applyAlignment="1">
      <alignment horizontal="center" vertical="center" wrapText="1"/>
    </xf>
    <xf numFmtId="14" fontId="2" fillId="10" borderId="5" xfId="0" applyNumberFormat="1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8" fontId="2" fillId="10" borderId="5" xfId="0" applyNumberFormat="1" applyFont="1" applyFill="1" applyBorder="1" applyAlignment="1">
      <alignment horizontal="center" vertical="center" wrapText="1"/>
    </xf>
    <xf numFmtId="14" fontId="3" fillId="10" borderId="5" xfId="0" applyNumberFormat="1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 shrinkToFit="1"/>
    </xf>
    <xf numFmtId="0" fontId="3" fillId="10" borderId="5" xfId="0" applyFont="1" applyFill="1" applyBorder="1" applyAlignment="1">
      <alignment horizontal="center" vertical="center" shrinkToFit="1"/>
    </xf>
    <xf numFmtId="179" fontId="3" fillId="10" borderId="5" xfId="0" applyNumberFormat="1" applyFont="1" applyFill="1" applyBorder="1" applyAlignment="1">
      <alignment horizontal="center" vertical="center" shrinkToFit="1"/>
    </xf>
    <xf numFmtId="179" fontId="3" fillId="10" borderId="5" xfId="0" applyNumberFormat="1" applyFont="1" applyFill="1" applyBorder="1" applyAlignment="1">
      <alignment horizontal="center" vertical="center" wrapText="1" shrinkToFit="1"/>
    </xf>
    <xf numFmtId="176" fontId="3" fillId="10" borderId="5" xfId="0" applyNumberFormat="1" applyFont="1" applyFill="1" applyBorder="1" applyAlignment="1">
      <alignment horizontal="center" vertical="center"/>
    </xf>
    <xf numFmtId="176" fontId="3" fillId="10" borderId="5" xfId="0" applyNumberFormat="1" applyFont="1" applyFill="1" applyBorder="1" applyAlignment="1">
      <alignment horizontal="center" vertical="center" shrinkToFit="1"/>
    </xf>
    <xf numFmtId="58" fontId="3" fillId="10" borderId="5" xfId="0" applyNumberFormat="1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176" fontId="3" fillId="10" borderId="5" xfId="0" applyNumberFormat="1" applyFont="1" applyFill="1" applyBorder="1" applyAlignment="1">
      <alignment horizontal="center" vertical="center" wrapText="1"/>
    </xf>
    <xf numFmtId="14" fontId="9" fillId="10" borderId="5" xfId="0" applyNumberFormat="1" applyFont="1" applyFill="1" applyBorder="1" applyAlignment="1">
      <alignment horizontal="center" vertical="center" wrapText="1"/>
    </xf>
    <xf numFmtId="14" fontId="12" fillId="10" borderId="5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58" fontId="2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2" fillId="12" borderId="5" xfId="0" applyNumberFormat="1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176" fontId="2" fillId="13" borderId="5" xfId="0" applyNumberFormat="1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58" fontId="2" fillId="13" borderId="5" xfId="0" applyNumberFormat="1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14" fontId="2" fillId="13" borderId="5" xfId="0" applyNumberFormat="1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76" fontId="2" fillId="0" borderId="5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176" fontId="2" fillId="14" borderId="5" xfId="0" applyNumberFormat="1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2" fillId="15" borderId="5" xfId="0" applyFont="1" applyFill="1" applyBorder="1" applyAlignment="1">
      <alignment horizontal="center" vertical="center" wrapText="1"/>
    </xf>
    <xf numFmtId="176" fontId="2" fillId="15" borderId="5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1" fontId="3" fillId="0" borderId="5" xfId="0" applyNumberFormat="1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14" fontId="3" fillId="0" borderId="5" xfId="0" applyNumberFormat="1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14" fontId="4" fillId="0" borderId="5" xfId="0" applyNumberFormat="1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shrinkToFit="1"/>
    </xf>
    <xf numFmtId="0" fontId="14" fillId="0" borderId="10" xfId="0" applyFont="1" applyBorder="1" applyAlignment="1">
      <alignment horizontal="center" vertical="center" shrinkToFit="1"/>
    </xf>
    <xf numFmtId="180" fontId="14" fillId="0" borderId="10" xfId="0" applyNumberFormat="1" applyFont="1" applyBorder="1" applyAlignment="1">
      <alignment horizontal="center" vertical="center" shrinkToFit="1"/>
    </xf>
    <xf numFmtId="180" fontId="11" fillId="0" borderId="10" xfId="0" applyNumberFormat="1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14" fontId="4" fillId="0" borderId="10" xfId="0" applyNumberFormat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6" fillId="16" borderId="0" xfId="0" applyFont="1" applyFill="1">
      <alignment vertical="center"/>
    </xf>
    <xf numFmtId="0" fontId="0" fillId="16" borderId="0" xfId="0" applyFill="1">
      <alignment vertical="center"/>
    </xf>
    <xf numFmtId="176" fontId="0" fillId="16" borderId="0" xfId="0" applyNumberFormat="1" applyFill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  <xf numFmtId="176" fontId="0" fillId="2" borderId="0" xfId="0" applyNumberForma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76" fontId="0" fillId="2" borderId="0" xfId="0" applyNumberFormat="1" applyFill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9" fillId="17" borderId="0" xfId="0" applyFont="1" applyFill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vertical="center" wrapText="1"/>
    </xf>
    <xf numFmtId="176" fontId="2" fillId="18" borderId="5" xfId="0" applyNumberFormat="1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 wrapText="1"/>
    </xf>
    <xf numFmtId="0" fontId="10" fillId="18" borderId="5" xfId="0" applyFont="1" applyFill="1" applyBorder="1" applyAlignment="1">
      <alignment horizontal="center" vertical="center" wrapText="1"/>
    </xf>
    <xf numFmtId="58" fontId="2" fillId="18" borderId="5" xfId="0" applyNumberFormat="1" applyFont="1" applyFill="1" applyBorder="1" applyAlignment="1">
      <alignment horizontal="center" vertical="center" wrapText="1"/>
    </xf>
    <xf numFmtId="14" fontId="3" fillId="18" borderId="5" xfId="0" applyNumberFormat="1" applyFont="1" applyFill="1" applyBorder="1" applyAlignment="1">
      <alignment horizontal="center" vertical="center" wrapText="1"/>
    </xf>
    <xf numFmtId="14" fontId="9" fillId="18" borderId="5" xfId="0" applyNumberFormat="1" applyFont="1" applyFill="1" applyBorder="1" applyAlignment="1">
      <alignment horizontal="center" vertical="center" wrapText="1"/>
    </xf>
    <xf numFmtId="14" fontId="2" fillId="18" borderId="5" xfId="0" applyNumberFormat="1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 shrinkToFit="1"/>
    </xf>
    <xf numFmtId="181" fontId="4" fillId="0" borderId="5" xfId="0" applyNumberFormat="1" applyFont="1" applyBorder="1" applyAlignment="1">
      <alignment horizontal="center" vertical="center" shrinkToFit="1"/>
    </xf>
    <xf numFmtId="0" fontId="0" fillId="8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177" fontId="6" fillId="0" borderId="5" xfId="0" applyNumberFormat="1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 shrinkToFit="1"/>
    </xf>
    <xf numFmtId="14" fontId="11" fillId="10" borderId="5" xfId="0" applyNumberFormat="1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shrinkToFit="1"/>
    </xf>
    <xf numFmtId="180" fontId="4" fillId="0" borderId="5" xfId="0" applyNumberFormat="1" applyFont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180" fontId="14" fillId="0" borderId="5" xfId="0" applyNumberFormat="1" applyFont="1" applyBorder="1" applyAlignment="1">
      <alignment horizontal="center" vertical="center" shrinkToFit="1"/>
    </xf>
    <xf numFmtId="180" fontId="11" fillId="0" borderId="5" xfId="0" applyNumberFormat="1" applyFont="1" applyBorder="1" applyAlignment="1">
      <alignment horizontal="center" vertical="center" shrinkToFit="1"/>
    </xf>
    <xf numFmtId="0" fontId="0" fillId="0" borderId="0" xfId="0" applyFill="1">
      <alignment vertical="center"/>
    </xf>
    <xf numFmtId="0" fontId="0" fillId="19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14" fontId="12" fillId="0" borderId="5" xfId="0" applyNumberFormat="1" applyFont="1" applyBorder="1" applyAlignment="1">
      <alignment horizontal="center" vertical="center" wrapText="1"/>
    </xf>
    <xf numFmtId="176" fontId="0" fillId="19" borderId="0" xfId="0" applyNumberFormat="1" applyFill="1" applyAlignment="1">
      <alignment horizontal="center" vertical="center" wrapText="1"/>
    </xf>
    <xf numFmtId="0" fontId="17" fillId="19" borderId="0" xfId="0" applyFont="1" applyFill="1" applyAlignment="1">
      <alignment horizontal="center" vertical="center"/>
    </xf>
    <xf numFmtId="14" fontId="0" fillId="19" borderId="0" xfId="0" applyNumberForma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 shrinkToFit="1"/>
    </xf>
    <xf numFmtId="0" fontId="18" fillId="0" borderId="0" xfId="0" applyFont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58" fontId="2" fillId="0" borderId="5" xfId="0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 wrapText="1"/>
    </xf>
    <xf numFmtId="58" fontId="2" fillId="20" borderId="5" xfId="0" applyNumberFormat="1" applyFont="1" applyFill="1" applyBorder="1" applyAlignment="1">
      <alignment horizontal="center" vertical="center" wrapText="1"/>
    </xf>
    <xf numFmtId="176" fontId="2" fillId="20" borderId="5" xfId="0" applyNumberFormat="1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58" fontId="2" fillId="15" borderId="5" xfId="0" applyNumberFormat="1" applyFont="1" applyFill="1" applyBorder="1" applyAlignment="1">
      <alignment horizontal="center" vertical="center" wrapText="1"/>
    </xf>
    <xf numFmtId="176" fontId="17" fillId="16" borderId="12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" fillId="0" borderId="0" xfId="0" applyFont="1">
      <alignment vertical="center"/>
    </xf>
    <xf numFmtId="0" fontId="1" fillId="21" borderId="5" xfId="0" applyFont="1" applyFill="1" applyBorder="1" applyAlignment="1">
      <alignment horizontal="center" vertical="center" wrapText="1" shrinkToFit="1"/>
    </xf>
    <xf numFmtId="0" fontId="1" fillId="21" borderId="6" xfId="0" applyFont="1" applyFill="1" applyBorder="1" applyAlignment="1">
      <alignment horizontal="center" vertical="center" wrapText="1" shrinkToFit="1"/>
    </xf>
    <xf numFmtId="0" fontId="1" fillId="21" borderId="8" xfId="0" applyFont="1" applyFill="1" applyBorder="1" applyAlignment="1">
      <alignment horizontal="center" vertical="center" wrapText="1" shrinkToFit="1"/>
    </xf>
    <xf numFmtId="1" fontId="3" fillId="10" borderId="5" xfId="0" applyNumberFormat="1" applyFont="1" applyFill="1" applyBorder="1" applyAlignment="1">
      <alignment horizontal="center" vertical="center" shrinkToFit="1"/>
    </xf>
    <xf numFmtId="14" fontId="3" fillId="10" borderId="5" xfId="0" applyNumberFormat="1" applyFont="1" applyFill="1" applyBorder="1" applyAlignment="1">
      <alignment horizontal="center" vertical="center" shrinkToFit="1"/>
    </xf>
    <xf numFmtId="0" fontId="3" fillId="10" borderId="7" xfId="0" applyFont="1" applyFill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 vertical="center" wrapText="1" shrinkToFit="1"/>
    </xf>
    <xf numFmtId="14" fontId="10" fillId="10" borderId="5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176" fontId="0" fillId="19" borderId="0" xfId="0" applyNumberFormat="1" applyFill="1" applyAlignment="1">
      <alignment horizontal="center" vertical="center"/>
    </xf>
    <xf numFmtId="0" fontId="8" fillId="0" borderId="5" xfId="0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 wrapText="1" shrinkToFit="1"/>
    </xf>
    <xf numFmtId="14" fontId="1" fillId="0" borderId="5" xfId="0" applyNumberFormat="1" applyFont="1" applyBorder="1" applyAlignment="1">
      <alignment horizontal="center" vertical="center" wrapText="1" shrinkToFit="1"/>
    </xf>
    <xf numFmtId="0" fontId="2" fillId="8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 shrinkToFit="1"/>
    </xf>
    <xf numFmtId="0" fontId="1" fillId="3" borderId="14" xfId="0" applyFont="1" applyFill="1" applyBorder="1" applyAlignment="1">
      <alignment horizontal="center" vertical="center" wrapText="1" shrinkToFit="1"/>
    </xf>
    <xf numFmtId="0" fontId="1" fillId="3" borderId="15" xfId="0" applyFont="1" applyFill="1" applyBorder="1" applyAlignment="1">
      <alignment horizontal="center" vertical="center" wrapText="1" shrinkToFit="1"/>
    </xf>
    <xf numFmtId="0" fontId="6" fillId="0" borderId="0" xfId="0" applyFont="1" applyAlignment="1">
      <alignment vertical="center" wrapText="1" shrinkToFit="1"/>
    </xf>
    <xf numFmtId="0" fontId="0" fillId="22" borderId="0" xfId="0" applyFill="1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 wrapText="1" shrinkToFit="1"/>
    </xf>
    <xf numFmtId="0" fontId="20" fillId="12" borderId="5" xfId="0" applyFont="1" applyFill="1" applyBorder="1" applyAlignment="1">
      <alignment horizontal="center" vertical="center" wrapText="1" shrinkToFit="1"/>
    </xf>
    <xf numFmtId="0" fontId="1" fillId="7" borderId="5" xfId="0" applyFont="1" applyFill="1" applyBorder="1" applyAlignment="1">
      <alignment horizontal="center" vertical="center" wrapText="1" shrinkToFit="1"/>
    </xf>
    <xf numFmtId="49" fontId="1" fillId="0" borderId="7" xfId="0" applyNumberFormat="1" applyFont="1" applyBorder="1" applyAlignment="1">
      <alignment horizontal="center" vertical="center" wrapText="1" shrinkToFit="1"/>
    </xf>
    <xf numFmtId="0" fontId="6" fillId="0" borderId="0" xfId="0" applyFont="1" applyAlignment="1">
      <alignment horizontal="center" vertical="center" wrapText="1" shrinkToFit="1"/>
    </xf>
    <xf numFmtId="0" fontId="6" fillId="5" borderId="8" xfId="0" applyFont="1" applyFill="1" applyBorder="1" applyAlignment="1">
      <alignment horizontal="center" vertical="center" wrapText="1" shrinkToFit="1"/>
    </xf>
    <xf numFmtId="0" fontId="3" fillId="10" borderId="4" xfId="0" applyFont="1" applyFill="1" applyBorder="1" applyAlignment="1">
      <alignment horizontal="center" vertical="center" shrinkToFit="1"/>
    </xf>
    <xf numFmtId="0" fontId="11" fillId="10" borderId="5" xfId="0" applyFont="1" applyFill="1" applyBorder="1" applyAlignment="1">
      <alignment horizontal="center" vertical="center" wrapText="1" shrinkToFit="1"/>
    </xf>
    <xf numFmtId="0" fontId="10" fillId="10" borderId="5" xfId="0" applyFont="1" applyFill="1" applyBorder="1" applyAlignment="1">
      <alignment horizontal="center" vertical="center" shrinkToFit="1"/>
    </xf>
    <xf numFmtId="14" fontId="3" fillId="10" borderId="5" xfId="0" applyNumberFormat="1" applyFont="1" applyFill="1" applyBorder="1" applyAlignment="1">
      <alignment horizontal="center" vertical="center" wrapText="1" shrinkToFit="1"/>
    </xf>
    <xf numFmtId="178" fontId="3" fillId="10" borderId="5" xfId="0" applyNumberFormat="1" applyFont="1" applyFill="1" applyBorder="1" applyAlignment="1">
      <alignment horizontal="center" vertical="center" shrinkToFit="1"/>
    </xf>
    <xf numFmtId="49" fontId="3" fillId="10" borderId="7" xfId="0" applyNumberFormat="1" applyFont="1" applyFill="1" applyBorder="1" applyAlignment="1">
      <alignment horizontal="center" vertical="center" wrapText="1" shrinkToFit="1"/>
    </xf>
    <xf numFmtId="0" fontId="11" fillId="10" borderId="5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179" fontId="3" fillId="0" borderId="5" xfId="0" applyNumberFormat="1" applyFont="1" applyBorder="1" applyAlignment="1">
      <alignment horizontal="center" vertical="center" shrinkToFit="1"/>
    </xf>
    <xf numFmtId="176" fontId="3" fillId="0" borderId="5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 shrinkToFit="1"/>
    </xf>
    <xf numFmtId="0" fontId="3" fillId="12" borderId="5" xfId="0" applyFont="1" applyFill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shrinkToFit="1"/>
    </xf>
    <xf numFmtId="178" fontId="3" fillId="12" borderId="5" xfId="0" applyNumberFormat="1" applyFont="1" applyFill="1" applyBorder="1" applyAlignment="1">
      <alignment horizontal="center" vertical="center" shrinkToFit="1"/>
    </xf>
    <xf numFmtId="14" fontId="21" fillId="0" borderId="5" xfId="0" applyNumberFormat="1" applyFont="1" applyBorder="1" applyAlignment="1">
      <alignment horizontal="center" vertical="center" wrapText="1" shrinkToFit="1"/>
    </xf>
    <xf numFmtId="14" fontId="9" fillId="0" borderId="5" xfId="0" applyNumberFormat="1" applyFont="1" applyBorder="1" applyAlignment="1">
      <alignment horizontal="center" vertical="center" shrinkToFit="1"/>
    </xf>
    <xf numFmtId="49" fontId="3" fillId="0" borderId="7" xfId="0" applyNumberFormat="1" applyFont="1" applyBorder="1" applyAlignment="1">
      <alignment horizontal="center" vertical="center" wrapText="1" shrinkToFit="1"/>
    </xf>
    <xf numFmtId="0" fontId="3" fillId="23" borderId="4" xfId="0" applyFont="1" applyFill="1" applyBorder="1" applyAlignment="1">
      <alignment horizontal="center" vertical="center" shrinkToFit="1"/>
    </xf>
    <xf numFmtId="0" fontId="3" fillId="23" borderId="5" xfId="0" applyFont="1" applyFill="1" applyBorder="1" applyAlignment="1">
      <alignment horizontal="center" vertical="center" wrapText="1" shrinkToFit="1"/>
    </xf>
    <xf numFmtId="0" fontId="3" fillId="23" borderId="5" xfId="0" applyFont="1" applyFill="1" applyBorder="1" applyAlignment="1">
      <alignment horizontal="center" vertical="center" shrinkToFit="1"/>
    </xf>
    <xf numFmtId="179" fontId="3" fillId="23" borderId="5" xfId="0" applyNumberFormat="1" applyFont="1" applyFill="1" applyBorder="1" applyAlignment="1">
      <alignment horizontal="center" vertical="center" wrapText="1" shrinkToFit="1"/>
    </xf>
    <xf numFmtId="179" fontId="3" fillId="23" borderId="5" xfId="0" applyNumberFormat="1" applyFont="1" applyFill="1" applyBorder="1" applyAlignment="1">
      <alignment horizontal="center" vertical="center" shrinkToFit="1"/>
    </xf>
    <xf numFmtId="176" fontId="3" fillId="23" borderId="5" xfId="0" applyNumberFormat="1" applyFont="1" applyFill="1" applyBorder="1" applyAlignment="1">
      <alignment horizontal="center" vertical="center"/>
    </xf>
    <xf numFmtId="176" fontId="3" fillId="23" borderId="5" xfId="0" applyNumberFormat="1" applyFont="1" applyFill="1" applyBorder="1" applyAlignment="1">
      <alignment horizontal="center" vertical="center" shrinkToFit="1"/>
    </xf>
    <xf numFmtId="1" fontId="3" fillId="23" borderId="5" xfId="0" applyNumberFormat="1" applyFont="1" applyFill="1" applyBorder="1" applyAlignment="1">
      <alignment horizontal="center" vertical="center" shrinkToFit="1"/>
    </xf>
    <xf numFmtId="0" fontId="11" fillId="23" borderId="5" xfId="0" applyFont="1" applyFill="1" applyBorder="1" applyAlignment="1">
      <alignment horizontal="center" vertical="center" shrinkToFit="1"/>
    </xf>
    <xf numFmtId="14" fontId="3" fillId="23" borderId="5" xfId="0" applyNumberFormat="1" applyFont="1" applyFill="1" applyBorder="1" applyAlignment="1">
      <alignment horizontal="center" vertical="center" shrinkToFit="1"/>
    </xf>
    <xf numFmtId="178" fontId="3" fillId="23" borderId="5" xfId="0" applyNumberFormat="1" applyFont="1" applyFill="1" applyBorder="1" applyAlignment="1">
      <alignment horizontal="center" vertical="center" shrinkToFit="1"/>
    </xf>
    <xf numFmtId="14" fontId="21" fillId="23" borderId="5" xfId="0" applyNumberFormat="1" applyFont="1" applyFill="1" applyBorder="1" applyAlignment="1">
      <alignment horizontal="center" vertical="center" wrapText="1" shrinkToFit="1"/>
    </xf>
    <xf numFmtId="14" fontId="9" fillId="23" borderId="5" xfId="0" applyNumberFormat="1" applyFont="1" applyFill="1" applyBorder="1" applyAlignment="1">
      <alignment horizontal="center" vertical="center" shrinkToFit="1"/>
    </xf>
    <xf numFmtId="49" fontId="3" fillId="23" borderId="7" xfId="0" applyNumberFormat="1" applyFont="1" applyFill="1" applyBorder="1" applyAlignment="1">
      <alignment horizontal="center" vertical="center" wrapText="1" shrinkToFit="1"/>
    </xf>
    <xf numFmtId="49" fontId="3" fillId="0" borderId="7" xfId="0" applyNumberFormat="1" applyFont="1" applyBorder="1" applyAlignment="1">
      <alignment horizontal="center" vertical="center" shrinkToFit="1"/>
    </xf>
    <xf numFmtId="49" fontId="4" fillId="0" borderId="7" xfId="0" applyNumberFormat="1" applyFont="1" applyBorder="1" applyAlignment="1">
      <alignment horizontal="center" vertical="center" shrinkToFit="1"/>
    </xf>
    <xf numFmtId="0" fontId="14" fillId="0" borderId="19" xfId="0" applyFont="1" applyBorder="1" applyAlignment="1">
      <alignment horizontal="center" vertical="center" shrinkToFit="1"/>
    </xf>
    <xf numFmtId="0" fontId="14" fillId="0" borderId="20" xfId="0" applyFont="1" applyBorder="1" applyAlignment="1">
      <alignment horizontal="center" vertical="center" shrinkToFit="1"/>
    </xf>
    <xf numFmtId="0" fontId="14" fillId="0" borderId="21" xfId="0" applyFont="1" applyBorder="1" applyAlignment="1">
      <alignment horizontal="center" vertical="center" shrinkToFit="1"/>
    </xf>
    <xf numFmtId="180" fontId="14" fillId="0" borderId="10" xfId="0" applyNumberFormat="1" applyFont="1" applyBorder="1" applyAlignment="1">
      <alignment vertical="center" shrinkToFit="1"/>
    </xf>
    <xf numFmtId="0" fontId="14" fillId="0" borderId="10" xfId="0" applyFont="1" applyBorder="1" applyAlignment="1">
      <alignment vertical="center" shrinkToFit="1"/>
    </xf>
    <xf numFmtId="49" fontId="4" fillId="0" borderId="11" xfId="0" applyNumberFormat="1" applyFont="1" applyBorder="1" applyAlignment="1">
      <alignment horizontal="center" vertical="center" shrinkToFit="1"/>
    </xf>
    <xf numFmtId="0" fontId="6" fillId="16" borderId="12" xfId="0" applyFont="1" applyFill="1" applyBorder="1" applyAlignment="1">
      <alignment horizontal="center" vertical="center"/>
    </xf>
    <xf numFmtId="0" fontId="22" fillId="0" borderId="12" xfId="0" applyFont="1" applyBorder="1">
      <alignment vertical="center"/>
    </xf>
    <xf numFmtId="0" fontId="22" fillId="0" borderId="12" xfId="0" applyFont="1" applyBorder="1" applyAlignment="1">
      <alignment horizontal="right" vertical="center"/>
    </xf>
    <xf numFmtId="1" fontId="22" fillId="0" borderId="0" xfId="0" applyNumberFormat="1" applyFont="1" applyAlignment="1">
      <alignment horizontal="center" vertical="center"/>
    </xf>
    <xf numFmtId="0" fontId="17" fillId="22" borderId="0" xfId="0" applyFont="1" applyFill="1">
      <alignment vertical="center"/>
    </xf>
    <xf numFmtId="0" fontId="0" fillId="22" borderId="0" xfId="0" applyFill="1" applyAlignment="1">
      <alignment horizontal="center" vertical="center"/>
    </xf>
    <xf numFmtId="0" fontId="19" fillId="22" borderId="0" xfId="0" applyFont="1" applyFill="1">
      <alignment vertical="center"/>
    </xf>
    <xf numFmtId="49" fontId="0" fillId="22" borderId="0" xfId="0" applyNumberFormat="1" applyFill="1">
      <alignment vertical="center"/>
    </xf>
    <xf numFmtId="0" fontId="2" fillId="0" borderId="0" xfId="0" applyFont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14" fontId="6" fillId="0" borderId="16" xfId="0" applyNumberFormat="1" applyFont="1" applyBorder="1" applyAlignment="1">
      <alignment horizontal="center" vertical="center"/>
    </xf>
    <xf numFmtId="14" fontId="6" fillId="0" borderId="18" xfId="0" applyNumberFormat="1" applyFont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 wrapText="1" shrinkToFit="1"/>
    </xf>
    <xf numFmtId="0" fontId="3" fillId="24" borderId="5" xfId="0" applyFont="1" applyFill="1" applyBorder="1" applyAlignment="1">
      <alignment horizontal="center" vertical="center" wrapText="1" shrinkToFit="1"/>
    </xf>
    <xf numFmtId="0" fontId="3" fillId="25" borderId="8" xfId="0" applyFont="1" applyFill="1" applyBorder="1" applyAlignment="1">
      <alignment horizontal="center" vertical="center" wrapText="1" shrinkToFit="1"/>
    </xf>
    <xf numFmtId="0" fontId="3" fillId="9" borderId="5" xfId="0" applyFont="1" applyFill="1" applyBorder="1" applyAlignment="1">
      <alignment horizontal="center" vertical="center" wrapText="1" shrinkToFit="1"/>
    </xf>
    <xf numFmtId="1" fontId="3" fillId="11" borderId="5" xfId="0" applyNumberFormat="1" applyFont="1" applyFill="1" applyBorder="1" applyAlignment="1">
      <alignment horizontal="center" vertical="center" wrapText="1" shrinkToFit="1"/>
    </xf>
    <xf numFmtId="0" fontId="3" fillId="25" borderId="5" xfId="0" applyFont="1" applyFill="1" applyBorder="1" applyAlignment="1">
      <alignment horizontal="center" vertical="center" wrapText="1" shrinkToFit="1"/>
    </xf>
    <xf numFmtId="0" fontId="1" fillId="6" borderId="8" xfId="0" applyFont="1" applyFill="1" applyBorder="1" applyAlignment="1">
      <alignment horizontal="center" vertical="center" wrapText="1" shrinkToFit="1"/>
    </xf>
    <xf numFmtId="0" fontId="3" fillId="15" borderId="4" xfId="0" applyFont="1" applyFill="1" applyBorder="1" applyAlignment="1">
      <alignment horizontal="center" vertical="center" shrinkToFit="1"/>
    </xf>
    <xf numFmtId="0" fontId="3" fillId="15" borderId="5" xfId="0" applyFont="1" applyFill="1" applyBorder="1" applyAlignment="1">
      <alignment horizontal="center" vertical="center" wrapText="1" shrinkToFit="1"/>
    </xf>
    <xf numFmtId="0" fontId="3" fillId="15" borderId="5" xfId="0" applyFont="1" applyFill="1" applyBorder="1" applyAlignment="1">
      <alignment horizontal="center" vertical="center" shrinkToFit="1"/>
    </xf>
    <xf numFmtId="179" fontId="3" fillId="15" borderId="5" xfId="0" applyNumberFormat="1" applyFont="1" applyFill="1" applyBorder="1" applyAlignment="1">
      <alignment horizontal="center" vertical="center" shrinkToFit="1"/>
    </xf>
    <xf numFmtId="179" fontId="3" fillId="15" borderId="5" xfId="0" applyNumberFormat="1" applyFont="1" applyFill="1" applyBorder="1" applyAlignment="1">
      <alignment horizontal="center" vertical="center" wrapText="1" shrinkToFit="1"/>
    </xf>
    <xf numFmtId="176" fontId="3" fillId="15" borderId="5" xfId="0" applyNumberFormat="1" applyFont="1" applyFill="1" applyBorder="1" applyAlignment="1">
      <alignment horizontal="center" vertical="center"/>
    </xf>
    <xf numFmtId="176" fontId="3" fillId="15" borderId="5" xfId="0" applyNumberFormat="1" applyFont="1" applyFill="1" applyBorder="1" applyAlignment="1">
      <alignment horizontal="center" vertical="center" shrinkToFit="1"/>
    </xf>
    <xf numFmtId="38" fontId="3" fillId="15" borderId="5" xfId="0" applyNumberFormat="1" applyFont="1" applyFill="1" applyBorder="1" applyAlignment="1">
      <alignment horizontal="center" vertical="center" wrapText="1" shrinkToFit="1"/>
    </xf>
    <xf numFmtId="1" fontId="3" fillId="15" borderId="5" xfId="0" applyNumberFormat="1" applyFont="1" applyFill="1" applyBorder="1" applyAlignment="1">
      <alignment horizontal="center" vertical="center" shrinkToFit="1"/>
    </xf>
    <xf numFmtId="1" fontId="3" fillId="11" borderId="5" xfId="0" applyNumberFormat="1" applyFont="1" applyFill="1" applyBorder="1" applyAlignment="1">
      <alignment horizontal="center" vertical="center" shrinkToFit="1"/>
    </xf>
    <xf numFmtId="0" fontId="3" fillId="4" borderId="8" xfId="0" applyFont="1" applyFill="1" applyBorder="1" applyAlignment="1">
      <alignment horizontal="center" vertical="center" shrinkToFit="1"/>
    </xf>
    <xf numFmtId="14" fontId="3" fillId="0" borderId="5" xfId="0" applyNumberFormat="1" applyFont="1" applyBorder="1" applyAlignment="1">
      <alignment horizontal="center" vertical="center" wrapText="1" shrinkToFit="1"/>
    </xf>
    <xf numFmtId="14" fontId="3" fillId="12" borderId="5" xfId="0" applyNumberFormat="1" applyFont="1" applyFill="1" applyBorder="1" applyAlignment="1">
      <alignment horizontal="center" vertical="center" shrinkToFit="1"/>
    </xf>
    <xf numFmtId="3" fontId="23" fillId="15" borderId="5" xfId="0" applyNumberFormat="1" applyFont="1" applyFill="1" applyBorder="1" applyAlignment="1">
      <alignment horizontal="center" vertical="center"/>
    </xf>
    <xf numFmtId="3" fontId="23" fillId="0" borderId="5" xfId="0" applyNumberFormat="1" applyFont="1" applyBorder="1" applyAlignment="1">
      <alignment horizontal="center" vertical="center"/>
    </xf>
    <xf numFmtId="1" fontId="3" fillId="11" borderId="8" xfId="0" applyNumberFormat="1" applyFont="1" applyFill="1" applyBorder="1" applyAlignment="1">
      <alignment horizontal="center" vertical="center" shrinkToFit="1"/>
    </xf>
    <xf numFmtId="182" fontId="4" fillId="0" borderId="5" xfId="0" applyNumberFormat="1" applyFont="1" applyBorder="1" applyAlignment="1">
      <alignment horizontal="center" vertical="center" shrinkToFit="1"/>
    </xf>
    <xf numFmtId="3" fontId="2" fillId="0" borderId="0" xfId="0" applyNumberFormat="1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0" fillId="0" borderId="0" xfId="0" applyAlignment="1">
      <alignment vertical="center" wrapText="1"/>
    </xf>
    <xf numFmtId="14" fontId="6" fillId="0" borderId="2" xfId="0" applyNumberFormat="1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 wrapText="1" shrinkToFit="1"/>
    </xf>
    <xf numFmtId="0" fontId="1" fillId="3" borderId="24" xfId="0" applyFont="1" applyFill="1" applyBorder="1" applyAlignment="1">
      <alignment horizontal="center" vertical="center" wrapText="1" shrinkToFit="1"/>
    </xf>
    <xf numFmtId="0" fontId="3" fillId="26" borderId="5" xfId="0" applyFont="1" applyFill="1" applyBorder="1" applyAlignment="1">
      <alignment horizontal="center" vertical="center" wrapText="1" shrinkToFit="1"/>
    </xf>
    <xf numFmtId="179" fontId="3" fillId="0" borderId="5" xfId="0" applyNumberFormat="1" applyFont="1" applyBorder="1" applyAlignment="1">
      <alignment horizontal="center" vertical="center" wrapText="1" shrinkToFit="1"/>
    </xf>
    <xf numFmtId="38" fontId="3" fillId="0" borderId="5" xfId="0" applyNumberFormat="1" applyFont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 wrapText="1" shrinkToFit="1"/>
    </xf>
    <xf numFmtId="0" fontId="0" fillId="12" borderId="0" xfId="0" applyFill="1">
      <alignment vertical="center"/>
    </xf>
    <xf numFmtId="58" fontId="3" fillId="0" borderId="5" xfId="0" applyNumberFormat="1" applyFont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>
      <alignment vertical="center"/>
    </xf>
    <xf numFmtId="0" fontId="2" fillId="0" borderId="0" xfId="0" applyFont="1" applyAlignment="1">
      <alignment vertical="center" wrapText="1"/>
    </xf>
    <xf numFmtId="14" fontId="1" fillId="7" borderId="6" xfId="0" applyNumberFormat="1" applyFont="1" applyFill="1" applyBorder="1" applyAlignment="1">
      <alignment horizontal="center" vertical="center" wrapText="1" shrinkToFit="1"/>
    </xf>
    <xf numFmtId="14" fontId="1" fillId="7" borderId="8" xfId="0" applyNumberFormat="1" applyFont="1" applyFill="1" applyBorder="1" applyAlignment="1">
      <alignment horizontal="center" vertical="center" wrapText="1" shrinkToFit="1"/>
    </xf>
    <xf numFmtId="3" fontId="3" fillId="10" borderId="5" xfId="0" applyNumberFormat="1" applyFont="1" applyFill="1" applyBorder="1" applyAlignment="1">
      <alignment horizontal="center" vertical="center" wrapText="1"/>
    </xf>
    <xf numFmtId="58" fontId="3" fillId="10" borderId="5" xfId="0" applyNumberFormat="1" applyFont="1" applyFill="1" applyBorder="1" applyAlignment="1">
      <alignment horizontal="center" vertical="center" wrapText="1" shrinkToFit="1"/>
    </xf>
    <xf numFmtId="176" fontId="26" fillId="10" borderId="5" xfId="0" applyNumberFormat="1" applyFont="1" applyFill="1" applyBorder="1" applyAlignment="1">
      <alignment horizontal="center" vertical="center" wrapText="1"/>
    </xf>
    <xf numFmtId="3" fontId="26" fillId="10" borderId="5" xfId="0" applyNumberFormat="1" applyFont="1" applyFill="1" applyBorder="1" applyAlignment="1">
      <alignment horizontal="center" vertical="center" wrapText="1"/>
    </xf>
    <xf numFmtId="14" fontId="21" fillId="10" borderId="5" xfId="0" applyNumberFormat="1" applyFont="1" applyFill="1" applyBorder="1" applyAlignment="1">
      <alignment horizontal="center" vertical="center" wrapText="1" shrinkToFit="1"/>
    </xf>
    <xf numFmtId="0" fontId="26" fillId="10" borderId="5" xfId="0" applyFont="1" applyFill="1" applyBorder="1" applyAlignment="1">
      <alignment horizontal="center" vertical="center" wrapText="1"/>
    </xf>
    <xf numFmtId="14" fontId="21" fillId="0" borderId="5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14" fontId="6" fillId="0" borderId="17" xfId="0" applyNumberFormat="1" applyFont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 wrapText="1" shrinkToFit="1"/>
    </xf>
    <xf numFmtId="0" fontId="3" fillId="26" borderId="8" xfId="0" applyFont="1" applyFill="1" applyBorder="1" applyAlignment="1">
      <alignment horizontal="center" vertical="center" wrapText="1" shrinkToFit="1"/>
    </xf>
    <xf numFmtId="0" fontId="9" fillId="9" borderId="8" xfId="0" applyFont="1" applyFill="1" applyBorder="1" applyAlignment="1">
      <alignment horizontal="center" vertical="center" wrapText="1" shrinkToFit="1"/>
    </xf>
    <xf numFmtId="0" fontId="3" fillId="10" borderId="8" xfId="0" applyFont="1" applyFill="1" applyBorder="1" applyAlignment="1">
      <alignment horizontal="center" vertical="center" shrinkToFit="1"/>
    </xf>
    <xf numFmtId="14" fontId="9" fillId="10" borderId="5" xfId="0" applyNumberFormat="1" applyFont="1" applyFill="1" applyBorder="1" applyAlignment="1">
      <alignment horizontal="center" vertical="center" wrapText="1" shrinkToFit="1"/>
    </xf>
    <xf numFmtId="14" fontId="11" fillId="10" borderId="5" xfId="0" applyNumberFormat="1" applyFont="1" applyFill="1" applyBorder="1" applyAlignment="1">
      <alignment horizontal="center" vertical="center" wrapText="1" shrinkToFit="1"/>
    </xf>
    <xf numFmtId="0" fontId="3" fillId="12" borderId="8" xfId="0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14" fontId="9" fillId="0" borderId="5" xfId="0" applyNumberFormat="1" applyFont="1" applyBorder="1" applyAlignment="1">
      <alignment horizontal="center" vertical="center" wrapText="1" shrinkToFit="1"/>
    </xf>
    <xf numFmtId="0" fontId="3" fillId="27" borderId="8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left" vertical="center" wrapText="1" shrinkToFit="1"/>
    </xf>
    <xf numFmtId="14" fontId="21" fillId="10" borderId="5" xfId="0" applyNumberFormat="1" applyFont="1" applyFill="1" applyBorder="1" applyAlignment="1">
      <alignment horizontal="center" vertical="center" shrinkToFit="1"/>
    </xf>
    <xf numFmtId="14" fontId="9" fillId="10" borderId="5" xfId="0" applyNumberFormat="1" applyFont="1" applyFill="1" applyBorder="1" applyAlignment="1">
      <alignment horizontal="center" vertical="center" shrinkToFit="1"/>
    </xf>
    <xf numFmtId="1" fontId="3" fillId="28" borderId="5" xfId="0" applyNumberFormat="1" applyFont="1" applyFill="1" applyBorder="1" applyAlignment="1">
      <alignment horizontal="center" vertical="center" shrinkToFit="1"/>
    </xf>
    <xf numFmtId="38" fontId="3" fillId="10" borderId="5" xfId="0" applyNumberFormat="1" applyFont="1" applyFill="1" applyBorder="1" applyAlignment="1">
      <alignment horizontal="center" vertical="center" wrapText="1" shrinkToFit="1"/>
    </xf>
    <xf numFmtId="0" fontId="22" fillId="0" borderId="0" xfId="0" applyFont="1">
      <alignment vertical="center"/>
    </xf>
    <xf numFmtId="0" fontId="5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180" fontId="1" fillId="0" borderId="5" xfId="0" applyNumberFormat="1" applyFont="1" applyBorder="1" applyAlignment="1">
      <alignment horizontal="center" vertical="center" wrapText="1" shrinkToFit="1"/>
    </xf>
    <xf numFmtId="183" fontId="1" fillId="0" borderId="5" xfId="0" applyNumberFormat="1" applyFont="1" applyBorder="1" applyAlignment="1">
      <alignment horizontal="center" vertical="center" wrapText="1" shrinkToFit="1"/>
    </xf>
    <xf numFmtId="0" fontId="1" fillId="29" borderId="5" xfId="0" applyFont="1" applyFill="1" applyBorder="1" applyAlignment="1">
      <alignment horizontal="center" vertical="center" wrapText="1" shrinkToFit="1"/>
    </xf>
    <xf numFmtId="0" fontId="1" fillId="30" borderId="5" xfId="0" applyFont="1" applyFill="1" applyBorder="1" applyAlignment="1">
      <alignment horizontal="center" vertical="center" wrapText="1" shrinkToFit="1"/>
    </xf>
    <xf numFmtId="0" fontId="1" fillId="31" borderId="5" xfId="0" applyFont="1" applyFill="1" applyBorder="1" applyAlignment="1">
      <alignment horizontal="center" vertical="center" wrapText="1" shrinkToFit="1"/>
    </xf>
    <xf numFmtId="0" fontId="1" fillId="32" borderId="5" xfId="0" applyFont="1" applyFill="1" applyBorder="1" applyAlignment="1">
      <alignment horizontal="center" vertical="center" wrapText="1" shrinkToFit="1"/>
    </xf>
    <xf numFmtId="0" fontId="1" fillId="33" borderId="5" xfId="0" applyFont="1" applyFill="1" applyBorder="1" applyAlignment="1">
      <alignment horizontal="center" vertical="center" wrapText="1" shrinkToFit="1"/>
    </xf>
    <xf numFmtId="180" fontId="3" fillId="13" borderId="5" xfId="0" applyNumberFormat="1" applyFont="1" applyFill="1" applyBorder="1" applyAlignment="1">
      <alignment horizontal="center" vertical="center" shrinkToFit="1"/>
    </xf>
    <xf numFmtId="0" fontId="3" fillId="13" borderId="5" xfId="0" applyFont="1" applyFill="1" applyBorder="1" applyAlignment="1">
      <alignment horizontal="center" vertical="center" wrapText="1" shrinkToFit="1"/>
    </xf>
    <xf numFmtId="0" fontId="3" fillId="13" borderId="5" xfId="0" applyFont="1" applyFill="1" applyBorder="1" applyAlignment="1">
      <alignment horizontal="center" vertical="center" shrinkToFit="1"/>
    </xf>
    <xf numFmtId="179" fontId="3" fillId="13" borderId="5" xfId="0" applyNumberFormat="1" applyFont="1" applyFill="1" applyBorder="1" applyAlignment="1">
      <alignment horizontal="center" vertical="center" wrapText="1" shrinkToFit="1"/>
    </xf>
    <xf numFmtId="179" fontId="3" fillId="13" borderId="5" xfId="0" applyNumberFormat="1" applyFont="1" applyFill="1" applyBorder="1" applyAlignment="1">
      <alignment horizontal="center" vertical="center" shrinkToFit="1"/>
    </xf>
    <xf numFmtId="176" fontId="3" fillId="13" borderId="5" xfId="0" applyNumberFormat="1" applyFont="1" applyFill="1" applyBorder="1" applyAlignment="1">
      <alignment horizontal="center" vertical="center"/>
    </xf>
    <xf numFmtId="176" fontId="3" fillId="13" borderId="5" xfId="0" applyNumberFormat="1" applyFont="1" applyFill="1" applyBorder="1" applyAlignment="1">
      <alignment horizontal="center" vertical="center" shrinkToFit="1"/>
    </xf>
    <xf numFmtId="183" fontId="3" fillId="13" borderId="5" xfId="0" applyNumberFormat="1" applyFont="1" applyFill="1" applyBorder="1" applyAlignment="1">
      <alignment horizontal="center" vertical="center" shrinkToFit="1"/>
    </xf>
    <xf numFmtId="1" fontId="3" fillId="13" borderId="5" xfId="0" applyNumberFormat="1" applyFont="1" applyFill="1" applyBorder="1" applyAlignment="1">
      <alignment horizontal="center" vertical="center" shrinkToFit="1"/>
    </xf>
    <xf numFmtId="14" fontId="3" fillId="13" borderId="5" xfId="0" applyNumberFormat="1" applyFont="1" applyFill="1" applyBorder="1" applyAlignment="1">
      <alignment horizontal="center" vertical="center" wrapText="1" shrinkToFit="1"/>
    </xf>
    <xf numFmtId="58" fontId="3" fillId="13" borderId="5" xfId="0" applyNumberFormat="1" applyFont="1" applyFill="1" applyBorder="1" applyAlignment="1">
      <alignment horizontal="center" vertical="center" wrapText="1" shrinkToFit="1"/>
    </xf>
    <xf numFmtId="178" fontId="3" fillId="13" borderId="5" xfId="0" applyNumberFormat="1" applyFont="1" applyFill="1" applyBorder="1" applyAlignment="1">
      <alignment horizontal="center" vertical="center" shrinkToFit="1"/>
    </xf>
    <xf numFmtId="14" fontId="10" fillId="13" borderId="5" xfId="0" applyNumberFormat="1" applyFont="1" applyFill="1" applyBorder="1" applyAlignment="1">
      <alignment horizontal="center" vertical="center" wrapText="1" shrinkToFit="1"/>
    </xf>
    <xf numFmtId="14" fontId="3" fillId="13" borderId="5" xfId="0" applyNumberFormat="1" applyFont="1" applyFill="1" applyBorder="1" applyAlignment="1">
      <alignment horizontal="center" vertical="center" shrinkToFit="1"/>
    </xf>
    <xf numFmtId="180" fontId="3" fillId="15" borderId="5" xfId="0" applyNumberFormat="1" applyFont="1" applyFill="1" applyBorder="1" applyAlignment="1">
      <alignment horizontal="center" vertical="center" shrinkToFit="1"/>
    </xf>
    <xf numFmtId="183" fontId="3" fillId="15" borderId="5" xfId="0" applyNumberFormat="1" applyFont="1" applyFill="1" applyBorder="1" applyAlignment="1">
      <alignment horizontal="center" vertical="center" shrinkToFit="1"/>
    </xf>
    <xf numFmtId="1" fontId="3" fillId="34" borderId="5" xfId="0" applyNumberFormat="1" applyFont="1" applyFill="1" applyBorder="1" applyAlignment="1">
      <alignment horizontal="center" vertical="center" shrinkToFit="1"/>
    </xf>
    <xf numFmtId="0" fontId="3" fillId="35" borderId="5" xfId="0" applyFont="1" applyFill="1" applyBorder="1" applyAlignment="1">
      <alignment horizontal="center" vertical="center" wrapText="1" shrinkToFit="1"/>
    </xf>
    <xf numFmtId="178" fontId="3" fillId="35" borderId="5" xfId="0" applyNumberFormat="1" applyFont="1" applyFill="1" applyBorder="1" applyAlignment="1">
      <alignment horizontal="center" vertical="center" shrinkToFit="1"/>
    </xf>
    <xf numFmtId="180" fontId="3" fillId="0" borderId="5" xfId="0" applyNumberFormat="1" applyFont="1" applyBorder="1" applyAlignment="1">
      <alignment horizontal="center" vertical="center" shrinkToFit="1"/>
    </xf>
    <xf numFmtId="183" fontId="3" fillId="0" borderId="5" xfId="0" applyNumberFormat="1" applyFont="1" applyBorder="1" applyAlignment="1">
      <alignment horizontal="center" vertical="center" shrinkToFit="1"/>
    </xf>
    <xf numFmtId="0" fontId="3" fillId="35" borderId="5" xfId="0" applyFont="1" applyFill="1" applyBorder="1" applyAlignment="1">
      <alignment horizontal="center" vertical="center" shrinkToFit="1"/>
    </xf>
    <xf numFmtId="14" fontId="3" fillId="35" borderId="5" xfId="0" applyNumberFormat="1" applyFont="1" applyFill="1" applyBorder="1" applyAlignment="1">
      <alignment horizontal="center" vertical="center" shrinkToFit="1"/>
    </xf>
    <xf numFmtId="0" fontId="27" fillId="0" borderId="5" xfId="0" applyFont="1" applyBorder="1" applyAlignment="1">
      <alignment horizontal="center" vertical="center" shrinkToFit="1"/>
    </xf>
    <xf numFmtId="0" fontId="28" fillId="0" borderId="5" xfId="0" applyFont="1" applyBorder="1" applyAlignment="1">
      <alignment horizontal="center" vertical="center" shrinkToFit="1"/>
    </xf>
    <xf numFmtId="183" fontId="28" fillId="0" borderId="5" xfId="0" applyNumberFormat="1" applyFont="1" applyBorder="1" applyAlignment="1">
      <alignment horizontal="center" vertical="center" shrinkToFit="1"/>
    </xf>
    <xf numFmtId="180" fontId="28" fillId="0" borderId="5" xfId="0" applyNumberFormat="1" applyFont="1" applyBorder="1" applyAlignment="1">
      <alignment horizontal="center" vertical="center" shrinkToFit="1"/>
    </xf>
    <xf numFmtId="0" fontId="28" fillId="0" borderId="0" xfId="0" applyFont="1" applyAlignment="1">
      <alignment horizontal="center" vertical="center" shrinkToFit="1"/>
    </xf>
    <xf numFmtId="0" fontId="14" fillId="0" borderId="5" xfId="0" applyFont="1" applyBorder="1" applyAlignment="1">
      <alignment vertical="center" shrinkToFit="1"/>
    </xf>
    <xf numFmtId="180" fontId="27" fillId="0" borderId="0" xfId="0" applyNumberFormat="1" applyFont="1">
      <alignment vertical="center"/>
    </xf>
    <xf numFmtId="0" fontId="27" fillId="16" borderId="0" xfId="0" applyFont="1" applyFill="1">
      <alignment vertical="center"/>
    </xf>
    <xf numFmtId="0" fontId="27" fillId="0" borderId="0" xfId="0" applyFont="1" applyBorder="1" applyAlignment="1">
      <alignment horizontal="center" vertical="center"/>
    </xf>
    <xf numFmtId="183" fontId="7" fillId="0" borderId="0" xfId="0" applyNumberFormat="1" applyFont="1">
      <alignment vertical="center"/>
    </xf>
    <xf numFmtId="1" fontId="29" fillId="0" borderId="0" xfId="0" applyNumberFormat="1" applyFont="1">
      <alignment vertical="center"/>
    </xf>
    <xf numFmtId="0" fontId="27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6" fillId="0" borderId="25" xfId="0" applyFont="1" applyBorder="1">
      <alignment vertical="center"/>
    </xf>
    <xf numFmtId="177" fontId="6" fillId="0" borderId="26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 shrinkToFit="1"/>
    </xf>
    <xf numFmtId="0" fontId="1" fillId="0" borderId="28" xfId="0" applyFont="1" applyBorder="1" applyAlignment="1">
      <alignment horizontal="center" vertical="center" wrapText="1" shrinkToFit="1"/>
    </xf>
    <xf numFmtId="183" fontId="1" fillId="0" borderId="8" xfId="0" applyNumberFormat="1" applyFont="1" applyBorder="1" applyAlignment="1">
      <alignment horizontal="center" vertical="center" wrapText="1" shrinkToFit="1"/>
    </xf>
    <xf numFmtId="0" fontId="1" fillId="29" borderId="14" xfId="0" applyFont="1" applyFill="1" applyBorder="1" applyAlignment="1">
      <alignment horizontal="center" vertical="center" wrapText="1" shrinkToFit="1"/>
    </xf>
    <xf numFmtId="0" fontId="1" fillId="30" borderId="8" xfId="0" applyFont="1" applyFill="1" applyBorder="1" applyAlignment="1">
      <alignment horizontal="center" vertical="center" wrapText="1" shrinkToFit="1"/>
    </xf>
    <xf numFmtId="0" fontId="1" fillId="31" borderId="8" xfId="0" applyFont="1" applyFill="1" applyBorder="1" applyAlignment="1">
      <alignment horizontal="center" vertical="center" wrapText="1" shrinkToFit="1"/>
    </xf>
    <xf numFmtId="0" fontId="1" fillId="31" borderId="29" xfId="0" applyFont="1" applyFill="1" applyBorder="1" applyAlignment="1">
      <alignment horizontal="center" vertical="center" wrapText="1" shrinkToFit="1"/>
    </xf>
    <xf numFmtId="0" fontId="1" fillId="32" borderId="8" xfId="0" applyFont="1" applyFill="1" applyBorder="1" applyAlignment="1">
      <alignment horizontal="center" vertical="center" wrapText="1" shrinkToFit="1"/>
    </xf>
    <xf numFmtId="0" fontId="1" fillId="33" borderId="8" xfId="0" applyFont="1" applyFill="1" applyBorder="1" applyAlignment="1">
      <alignment horizontal="center" vertical="center" wrapText="1" shrinkToFit="1"/>
    </xf>
    <xf numFmtId="0" fontId="1" fillId="0" borderId="30" xfId="0" applyFont="1" applyBorder="1" applyAlignment="1">
      <alignment horizontal="center" vertical="center" wrapText="1" shrinkToFit="1"/>
    </xf>
    <xf numFmtId="0" fontId="3" fillId="36" borderId="31" xfId="0" applyFont="1" applyFill="1" applyBorder="1" applyAlignment="1">
      <alignment horizontal="center" vertical="center" wrapText="1" shrinkToFit="1"/>
    </xf>
    <xf numFmtId="0" fontId="3" fillId="13" borderId="27" xfId="0" applyFont="1" applyFill="1" applyBorder="1" applyAlignment="1">
      <alignment horizontal="center" vertical="center" shrinkToFit="1"/>
    </xf>
    <xf numFmtId="0" fontId="3" fillId="13" borderId="31" xfId="0" applyFont="1" applyFill="1" applyBorder="1" applyAlignment="1">
      <alignment horizontal="center" vertical="center" wrapText="1" shrinkToFit="1"/>
    </xf>
    <xf numFmtId="0" fontId="3" fillId="13" borderId="31" xfId="0" applyFont="1" applyFill="1" applyBorder="1" applyAlignment="1">
      <alignment horizontal="center" vertical="center" shrinkToFit="1"/>
    </xf>
    <xf numFmtId="179" fontId="3" fillId="13" borderId="31" xfId="0" applyNumberFormat="1" applyFont="1" applyFill="1" applyBorder="1" applyAlignment="1">
      <alignment horizontal="center" vertical="center" wrapText="1" shrinkToFit="1"/>
    </xf>
    <xf numFmtId="179" fontId="3" fillId="13" borderId="31" xfId="0" applyNumberFormat="1" applyFont="1" applyFill="1" applyBorder="1" applyAlignment="1">
      <alignment horizontal="center" vertical="center" shrinkToFit="1"/>
    </xf>
    <xf numFmtId="176" fontId="3" fillId="13" borderId="31" xfId="0" applyNumberFormat="1" applyFont="1" applyFill="1" applyBorder="1" applyAlignment="1">
      <alignment horizontal="center" vertical="center"/>
    </xf>
    <xf numFmtId="176" fontId="3" fillId="13" borderId="31" xfId="0" applyNumberFormat="1" applyFont="1" applyFill="1" applyBorder="1" applyAlignment="1">
      <alignment horizontal="center" vertical="center" shrinkToFit="1"/>
    </xf>
    <xf numFmtId="183" fontId="3" fillId="13" borderId="31" xfId="0" applyNumberFormat="1" applyFont="1" applyFill="1" applyBorder="1" applyAlignment="1">
      <alignment horizontal="center" vertical="center" shrinkToFit="1"/>
    </xf>
    <xf numFmtId="1" fontId="3" fillId="13" borderId="31" xfId="0" applyNumberFormat="1" applyFont="1" applyFill="1" applyBorder="1" applyAlignment="1">
      <alignment horizontal="center" vertical="center" shrinkToFit="1"/>
    </xf>
    <xf numFmtId="14" fontId="3" fillId="13" borderId="31" xfId="0" applyNumberFormat="1" applyFont="1" applyFill="1" applyBorder="1" applyAlignment="1">
      <alignment horizontal="center" vertical="center" wrapText="1" shrinkToFit="1"/>
    </xf>
    <xf numFmtId="58" fontId="3" fillId="13" borderId="31" xfId="0" applyNumberFormat="1" applyFont="1" applyFill="1" applyBorder="1" applyAlignment="1">
      <alignment horizontal="center" vertical="center" wrapText="1" shrinkToFit="1"/>
    </xf>
    <xf numFmtId="178" fontId="3" fillId="13" borderId="31" xfId="0" applyNumberFormat="1" applyFont="1" applyFill="1" applyBorder="1" applyAlignment="1">
      <alignment horizontal="center" vertical="center" shrinkToFit="1"/>
    </xf>
    <xf numFmtId="14" fontId="10" fillId="13" borderId="31" xfId="0" applyNumberFormat="1" applyFont="1" applyFill="1" applyBorder="1" applyAlignment="1">
      <alignment horizontal="center" vertical="center" wrapText="1" shrinkToFit="1"/>
    </xf>
    <xf numFmtId="14" fontId="9" fillId="13" borderId="31" xfId="0" applyNumberFormat="1" applyFont="1" applyFill="1" applyBorder="1" applyAlignment="1">
      <alignment horizontal="center" vertical="center" wrapText="1" shrinkToFit="1"/>
    </xf>
    <xf numFmtId="14" fontId="3" fillId="13" borderId="31" xfId="0" applyNumberFormat="1" applyFont="1" applyFill="1" applyBorder="1" applyAlignment="1">
      <alignment horizontal="center" vertical="center" shrinkToFit="1"/>
    </xf>
    <xf numFmtId="0" fontId="3" fillId="13" borderId="32" xfId="0" applyFont="1" applyFill="1" applyBorder="1" applyAlignment="1">
      <alignment horizontal="center" vertical="center" wrapText="1" shrinkToFit="1"/>
    </xf>
    <xf numFmtId="0" fontId="3" fillId="15" borderId="27" xfId="0" applyFont="1" applyFill="1" applyBorder="1" applyAlignment="1">
      <alignment horizontal="center" vertical="center" shrinkToFit="1"/>
    </xf>
    <xf numFmtId="0" fontId="3" fillId="15" borderId="31" xfId="0" applyFont="1" applyFill="1" applyBorder="1" applyAlignment="1">
      <alignment horizontal="center" vertical="center" wrapText="1" shrinkToFit="1"/>
    </xf>
    <xf numFmtId="0" fontId="3" fillId="15" borderId="31" xfId="0" applyFont="1" applyFill="1" applyBorder="1" applyAlignment="1">
      <alignment horizontal="center" vertical="center" shrinkToFit="1"/>
    </xf>
    <xf numFmtId="179" fontId="3" fillId="15" borderId="31" xfId="0" applyNumberFormat="1" applyFont="1" applyFill="1" applyBorder="1" applyAlignment="1">
      <alignment horizontal="center" vertical="center" shrinkToFit="1"/>
    </xf>
    <xf numFmtId="176" fontId="3" fillId="15" borderId="31" xfId="0" applyNumberFormat="1" applyFont="1" applyFill="1" applyBorder="1" applyAlignment="1">
      <alignment horizontal="center" vertical="center"/>
    </xf>
    <xf numFmtId="176" fontId="3" fillId="15" borderId="31" xfId="0" applyNumberFormat="1" applyFont="1" applyFill="1" applyBorder="1" applyAlignment="1">
      <alignment horizontal="center" vertical="center" shrinkToFit="1"/>
    </xf>
    <xf numFmtId="183" fontId="3" fillId="15" borderId="31" xfId="0" applyNumberFormat="1" applyFont="1" applyFill="1" applyBorder="1" applyAlignment="1">
      <alignment horizontal="center" vertical="center" shrinkToFit="1"/>
    </xf>
    <xf numFmtId="1" fontId="3" fillId="15" borderId="31" xfId="0" applyNumberFormat="1" applyFont="1" applyFill="1" applyBorder="1" applyAlignment="1">
      <alignment horizontal="center" vertical="center" shrinkToFit="1"/>
    </xf>
    <xf numFmtId="1" fontId="3" fillId="34" borderId="31" xfId="0" applyNumberFormat="1" applyFont="1" applyFill="1" applyBorder="1" applyAlignment="1">
      <alignment horizontal="center" vertical="center" shrinkToFit="1"/>
    </xf>
    <xf numFmtId="0" fontId="3" fillId="35" borderId="31" xfId="0" applyFont="1" applyFill="1" applyBorder="1" applyAlignment="1">
      <alignment horizontal="center" vertical="center" wrapText="1" shrinkToFit="1"/>
    </xf>
    <xf numFmtId="0" fontId="3" fillId="0" borderId="31" xfId="0" applyFont="1" applyBorder="1" applyAlignment="1">
      <alignment horizontal="center" vertical="center" shrinkToFit="1"/>
    </xf>
    <xf numFmtId="14" fontId="3" fillId="0" borderId="31" xfId="0" applyNumberFormat="1" applyFont="1" applyBorder="1" applyAlignment="1">
      <alignment horizontal="center" vertical="center" wrapText="1" shrinkToFit="1"/>
    </xf>
    <xf numFmtId="58" fontId="3" fillId="0" borderId="31" xfId="0" applyNumberFormat="1" applyFont="1" applyBorder="1" applyAlignment="1">
      <alignment horizontal="center" vertical="center" wrapText="1" shrinkToFit="1"/>
    </xf>
    <xf numFmtId="0" fontId="3" fillId="0" borderId="31" xfId="0" applyFont="1" applyBorder="1" applyAlignment="1">
      <alignment horizontal="center" vertical="center" wrapText="1" shrinkToFit="1"/>
    </xf>
    <xf numFmtId="178" fontId="3" fillId="0" borderId="31" xfId="0" applyNumberFormat="1" applyFont="1" applyBorder="1" applyAlignment="1">
      <alignment horizontal="center" vertical="center" shrinkToFit="1"/>
    </xf>
    <xf numFmtId="14" fontId="9" fillId="0" borderId="31" xfId="0" applyNumberFormat="1" applyFont="1" applyBorder="1" applyAlignment="1">
      <alignment horizontal="center" vertical="center" wrapText="1" shrinkToFit="1"/>
    </xf>
    <xf numFmtId="14" fontId="3" fillId="0" borderId="31" xfId="0" applyNumberFormat="1" applyFont="1" applyBorder="1" applyAlignment="1">
      <alignment horizontal="center" vertical="center" shrinkToFit="1"/>
    </xf>
    <xf numFmtId="0" fontId="3" fillId="0" borderId="32" xfId="0" applyFont="1" applyBorder="1" applyAlignment="1">
      <alignment horizontal="center" vertical="center" wrapText="1" shrinkToFit="1"/>
    </xf>
    <xf numFmtId="0" fontId="3" fillId="0" borderId="27" xfId="0" applyFont="1" applyBorder="1" applyAlignment="1">
      <alignment horizontal="center" vertical="center" shrinkToFit="1"/>
    </xf>
    <xf numFmtId="179" fontId="3" fillId="0" borderId="31" xfId="0" applyNumberFormat="1" applyFont="1" applyBorder="1" applyAlignment="1">
      <alignment horizontal="center" vertical="center" shrinkToFit="1"/>
    </xf>
    <xf numFmtId="176" fontId="3" fillId="0" borderId="31" xfId="0" applyNumberFormat="1" applyFont="1" applyBorder="1" applyAlignment="1">
      <alignment horizontal="center" vertical="center"/>
    </xf>
    <xf numFmtId="176" fontId="3" fillId="0" borderId="31" xfId="0" applyNumberFormat="1" applyFont="1" applyBorder="1" applyAlignment="1">
      <alignment horizontal="center" vertical="center" shrinkToFit="1"/>
    </xf>
    <xf numFmtId="183" fontId="3" fillId="0" borderId="31" xfId="0" applyNumberFormat="1" applyFont="1" applyBorder="1" applyAlignment="1">
      <alignment horizontal="center" vertical="center" shrinkToFit="1"/>
    </xf>
    <xf numFmtId="1" fontId="3" fillId="0" borderId="31" xfId="0" applyNumberFormat="1" applyFont="1" applyBorder="1" applyAlignment="1">
      <alignment horizontal="center" vertical="center" shrinkToFit="1"/>
    </xf>
    <xf numFmtId="0" fontId="3" fillId="35" borderId="31" xfId="0" applyFont="1" applyFill="1" applyBorder="1" applyAlignment="1">
      <alignment horizontal="center" vertical="center" shrinkToFit="1"/>
    </xf>
    <xf numFmtId="0" fontId="27" fillId="0" borderId="4" xfId="0" applyFont="1" applyBorder="1" applyAlignment="1">
      <alignment horizontal="center" vertical="center" shrinkToFit="1"/>
    </xf>
    <xf numFmtId="0" fontId="3" fillId="0" borderId="32" xfId="0" applyFont="1" applyBorder="1" applyAlignment="1">
      <alignment horizontal="center" vertical="center" shrinkToFit="1"/>
    </xf>
    <xf numFmtId="0" fontId="28" fillId="0" borderId="4" xfId="0" applyFont="1" applyBorder="1" applyAlignment="1">
      <alignment horizontal="center" vertical="center" shrinkToFit="1"/>
    </xf>
    <xf numFmtId="183" fontId="28" fillId="0" borderId="31" xfId="0" applyNumberFormat="1" applyFont="1" applyBorder="1" applyAlignment="1">
      <alignment horizontal="center" vertical="center" shrinkToFit="1"/>
    </xf>
    <xf numFmtId="0" fontId="28" fillId="0" borderId="31" xfId="0" applyFont="1" applyBorder="1" applyAlignment="1">
      <alignment horizontal="center" vertical="center" shrinkToFit="1"/>
    </xf>
    <xf numFmtId="180" fontId="28" fillId="0" borderId="31" xfId="0" applyNumberFormat="1" applyFont="1" applyBorder="1" applyAlignment="1">
      <alignment horizontal="center" vertical="center" shrinkToFit="1"/>
    </xf>
    <xf numFmtId="0" fontId="28" fillId="0" borderId="32" xfId="0" applyFont="1" applyBorder="1" applyAlignment="1">
      <alignment horizontal="center" vertical="center" shrinkToFit="1"/>
    </xf>
    <xf numFmtId="0" fontId="14" fillId="0" borderId="33" xfId="0" applyFont="1" applyBorder="1" applyAlignment="1">
      <alignment horizontal="center" vertical="center" shrinkToFit="1"/>
    </xf>
    <xf numFmtId="180" fontId="11" fillId="0" borderId="34" xfId="0" applyNumberFormat="1" applyFont="1" applyBorder="1" applyAlignment="1">
      <alignment horizontal="center" vertical="center" shrinkToFit="1"/>
    </xf>
    <xf numFmtId="0" fontId="14" fillId="0" borderId="34" xfId="0" applyFont="1" applyBorder="1" applyAlignment="1">
      <alignment vertical="center" shrinkToFit="1"/>
    </xf>
    <xf numFmtId="0" fontId="28" fillId="0" borderId="34" xfId="0" applyFont="1" applyBorder="1" applyAlignment="1">
      <alignment horizontal="center" vertical="center" shrinkToFit="1"/>
    </xf>
    <xf numFmtId="0" fontId="28" fillId="0" borderId="35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center" vertical="center"/>
    </xf>
    <xf numFmtId="183" fontId="10" fillId="0" borderId="0" xfId="0" applyNumberFormat="1" applyFont="1">
      <alignment vertical="center"/>
    </xf>
    <xf numFmtId="0" fontId="6" fillId="0" borderId="0" xfId="0" applyFont="1" applyAlignment="1">
      <alignment vertical="center" shrinkToFit="1"/>
    </xf>
    <xf numFmtId="183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184" fontId="5" fillId="0" borderId="37" xfId="0" applyNumberFormat="1" applyFont="1" applyBorder="1" applyAlignment="1">
      <alignment horizontal="left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177" fontId="6" fillId="0" borderId="37" xfId="0" applyNumberFormat="1" applyFont="1" applyBorder="1" applyAlignment="1">
      <alignment horizontal="center" vertical="center"/>
    </xf>
    <xf numFmtId="49" fontId="6" fillId="0" borderId="4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wrapText="1" shrinkToFit="1"/>
    </xf>
    <xf numFmtId="183" fontId="1" fillId="0" borderId="2" xfId="0" applyNumberFormat="1" applyFont="1" applyBorder="1" applyAlignment="1">
      <alignment horizontal="center" vertical="center" wrapText="1" shrinkToFit="1"/>
    </xf>
    <xf numFmtId="0" fontId="20" fillId="3" borderId="2" xfId="0" applyFont="1" applyFill="1" applyBorder="1" applyAlignment="1">
      <alignment horizontal="center" vertical="center" shrinkToFit="1"/>
    </xf>
    <xf numFmtId="0" fontId="1" fillId="4" borderId="2" xfId="0" applyFont="1" applyFill="1" applyBorder="1" applyAlignment="1">
      <alignment horizontal="center" vertical="center" wrapText="1" shrinkToFit="1"/>
    </xf>
    <xf numFmtId="0" fontId="1" fillId="5" borderId="2" xfId="0" applyFont="1" applyFill="1" applyBorder="1" applyAlignment="1">
      <alignment horizontal="center" vertical="center" wrapText="1" shrinkToFit="1"/>
    </xf>
    <xf numFmtId="0" fontId="6" fillId="5" borderId="2" xfId="0" applyFont="1" applyFill="1" applyBorder="1" applyAlignment="1">
      <alignment horizontal="center" vertical="center" wrapText="1" shrinkToFit="1"/>
    </xf>
    <xf numFmtId="0" fontId="1" fillId="5" borderId="2" xfId="0" applyFont="1" applyFill="1" applyBorder="1" applyAlignment="1">
      <alignment horizontal="center" vertical="center" shrinkToFit="1"/>
    </xf>
    <xf numFmtId="0" fontId="1" fillId="6" borderId="2" xfId="0" applyFont="1" applyFill="1" applyBorder="1" applyAlignment="1">
      <alignment horizontal="center" vertical="center" shrinkToFit="1"/>
    </xf>
    <xf numFmtId="0" fontId="1" fillId="7" borderId="2" xfId="0" applyFont="1" applyFill="1" applyBorder="1" applyAlignment="1">
      <alignment horizontal="center" vertical="center" wrapText="1" shrinkToFit="1"/>
    </xf>
    <xf numFmtId="49" fontId="1" fillId="0" borderId="3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left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3" fillId="37" borderId="5" xfId="0" applyFont="1" applyFill="1" applyBorder="1" applyAlignment="1">
      <alignment horizontal="center" vertical="center" wrapText="1" shrinkToFit="1"/>
    </xf>
    <xf numFmtId="0" fontId="1" fillId="4" borderId="5" xfId="0" applyFont="1" applyFill="1" applyBorder="1" applyAlignment="1">
      <alignment horizontal="center" vertical="center" shrinkToFit="1"/>
    </xf>
    <xf numFmtId="0" fontId="6" fillId="5" borderId="5" xfId="0" applyFont="1" applyFill="1" applyBorder="1" applyAlignment="1">
      <alignment horizontal="center" vertical="center" wrapText="1" shrinkToFit="1"/>
    </xf>
    <xf numFmtId="0" fontId="1" fillId="5" borderId="5" xfId="0" applyFont="1" applyFill="1" applyBorder="1" applyAlignment="1">
      <alignment horizontal="center" vertical="center" shrinkToFit="1"/>
    </xf>
    <xf numFmtId="0" fontId="1" fillId="6" borderId="5" xfId="0" applyFont="1" applyFill="1" applyBorder="1" applyAlignment="1">
      <alignment horizontal="center" vertical="center" shrinkToFit="1"/>
    </xf>
    <xf numFmtId="49" fontId="1" fillId="0" borderId="7" xfId="0" applyNumberFormat="1" applyFont="1" applyBorder="1" applyAlignment="1">
      <alignment horizontal="center" vertical="center" shrinkToFit="1"/>
    </xf>
    <xf numFmtId="183" fontId="3" fillId="10" borderId="5" xfId="0" applyNumberFormat="1" applyFont="1" applyFill="1" applyBorder="1" applyAlignment="1">
      <alignment horizontal="center" vertical="center" shrinkToFit="1"/>
    </xf>
    <xf numFmtId="180" fontId="3" fillId="10" borderId="5" xfId="0" applyNumberFormat="1" applyFont="1" applyFill="1" applyBorder="1" applyAlignment="1">
      <alignment horizontal="center" vertical="center" shrinkToFit="1"/>
    </xf>
    <xf numFmtId="0" fontId="26" fillId="0" borderId="0" xfId="0" applyFont="1">
      <alignment vertical="center"/>
    </xf>
    <xf numFmtId="0" fontId="3" fillId="0" borderId="0" xfId="0" applyFont="1" applyAlignment="1">
      <alignment horizontal="left" vertical="center" shrinkToFit="1"/>
    </xf>
    <xf numFmtId="183" fontId="3" fillId="10" borderId="5" xfId="0" applyNumberFormat="1" applyFont="1" applyFill="1" applyBorder="1" applyAlignment="1">
      <alignment horizontal="center" vertical="center" wrapText="1" shrinkToFit="1"/>
    </xf>
    <xf numFmtId="0" fontId="10" fillId="10" borderId="5" xfId="0" applyFont="1" applyFill="1" applyBorder="1" applyAlignment="1">
      <alignment horizontal="center" vertical="center" wrapText="1" shrinkToFit="1"/>
    </xf>
    <xf numFmtId="183" fontId="3" fillId="23" borderId="5" xfId="0" applyNumberFormat="1" applyFont="1" applyFill="1" applyBorder="1" applyAlignment="1">
      <alignment horizontal="center" vertical="center" wrapText="1" shrinkToFit="1"/>
    </xf>
    <xf numFmtId="14" fontId="9" fillId="23" borderId="5" xfId="0" applyNumberFormat="1" applyFont="1" applyFill="1" applyBorder="1" applyAlignment="1">
      <alignment horizontal="center" vertical="center" wrapText="1" shrinkToFit="1"/>
    </xf>
    <xf numFmtId="14" fontId="3" fillId="23" borderId="5" xfId="0" applyNumberFormat="1" applyFont="1" applyFill="1" applyBorder="1" applyAlignment="1">
      <alignment horizontal="center" vertical="center" wrapText="1" shrinkToFit="1"/>
    </xf>
    <xf numFmtId="0" fontId="3" fillId="0" borderId="4" xfId="0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center" vertical="center" wrapText="1" shrinkToFit="1"/>
    </xf>
    <xf numFmtId="179" fontId="3" fillId="0" borderId="5" xfId="0" applyNumberFormat="1" applyFont="1" applyFill="1" applyBorder="1" applyAlignment="1">
      <alignment horizontal="center" vertical="center" shrinkToFit="1"/>
    </xf>
    <xf numFmtId="176" fontId="3" fillId="0" borderId="5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 shrinkToFit="1"/>
    </xf>
    <xf numFmtId="183" fontId="3" fillId="0" borderId="5" xfId="0" applyNumberFormat="1" applyFont="1" applyFill="1" applyBorder="1" applyAlignment="1">
      <alignment horizontal="center" vertical="center" wrapText="1" shrinkToFit="1"/>
    </xf>
    <xf numFmtId="0" fontId="3" fillId="12" borderId="5" xfId="0" applyFont="1" applyFill="1" applyBorder="1" applyAlignment="1">
      <alignment horizontal="center" vertical="center" wrapText="1" shrinkToFit="1"/>
    </xf>
    <xf numFmtId="178" fontId="3" fillId="0" borderId="5" xfId="0" applyNumberFormat="1" applyFont="1" applyBorder="1" applyAlignment="1">
      <alignment horizontal="center" vertical="center" shrinkToFit="1"/>
    </xf>
    <xf numFmtId="183" fontId="3" fillId="15" borderId="5" xfId="0" applyNumberFormat="1" applyFont="1" applyFill="1" applyBorder="1" applyAlignment="1">
      <alignment horizontal="center" vertical="center" wrapText="1" shrinkToFit="1"/>
    </xf>
    <xf numFmtId="183" fontId="3" fillId="0" borderId="5" xfId="0" applyNumberFormat="1" applyFont="1" applyBorder="1" applyAlignment="1">
      <alignment horizontal="center" vertical="center" wrapText="1" shrinkToFit="1"/>
    </xf>
    <xf numFmtId="0" fontId="30" fillId="0" borderId="4" xfId="0" applyFont="1" applyBorder="1" applyAlignment="1">
      <alignment horizontal="center" vertical="center" shrinkToFit="1"/>
    </xf>
    <xf numFmtId="0" fontId="30" fillId="0" borderId="5" xfId="0" applyFont="1" applyBorder="1" applyAlignment="1">
      <alignment horizontal="center" vertical="center" shrinkToFit="1"/>
    </xf>
    <xf numFmtId="183" fontId="30" fillId="0" borderId="5" xfId="0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0" fontId="20" fillId="0" borderId="27" xfId="0" applyFont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183" fontId="14" fillId="0" borderId="8" xfId="0" applyNumberFormat="1" applyFont="1" applyBorder="1" applyAlignment="1">
      <alignment horizontal="center" vertical="center" shrinkToFit="1"/>
    </xf>
    <xf numFmtId="0" fontId="20" fillId="0" borderId="8" xfId="0" applyFont="1" applyBorder="1" applyAlignment="1">
      <alignment vertical="center" shrinkToFit="1"/>
    </xf>
    <xf numFmtId="180" fontId="14" fillId="0" borderId="8" xfId="0" applyNumberFormat="1" applyFont="1" applyBorder="1" applyAlignment="1">
      <alignment horizontal="center" vertical="center" shrinkToFit="1"/>
    </xf>
    <xf numFmtId="0" fontId="4" fillId="0" borderId="31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49" fontId="4" fillId="0" borderId="30" xfId="0" applyNumberFormat="1" applyFont="1" applyBorder="1" applyAlignment="1">
      <alignment horizontal="center" vertical="center" shrinkToFit="1"/>
    </xf>
    <xf numFmtId="0" fontId="0" fillId="0" borderId="42" xfId="0" applyBorder="1">
      <alignment vertical="center"/>
    </xf>
    <xf numFmtId="0" fontId="6" fillId="16" borderId="43" xfId="0" applyFont="1" applyFill="1" applyBorder="1">
      <alignment vertical="center"/>
    </xf>
    <xf numFmtId="0" fontId="0" fillId="16" borderId="43" xfId="0" applyFill="1" applyBorder="1">
      <alignment vertical="center"/>
    </xf>
    <xf numFmtId="183" fontId="0" fillId="0" borderId="43" xfId="0" applyNumberFormat="1" applyBorder="1">
      <alignment vertical="center"/>
    </xf>
    <xf numFmtId="0" fontId="0" fillId="0" borderId="43" xfId="0" applyBorder="1">
      <alignment vertical="center"/>
    </xf>
    <xf numFmtId="0" fontId="0" fillId="0" borderId="21" xfId="0" applyBorder="1">
      <alignment vertical="center"/>
    </xf>
    <xf numFmtId="0" fontId="0" fillId="0" borderId="10" xfId="0" applyBorder="1">
      <alignment vertical="center"/>
    </xf>
    <xf numFmtId="0" fontId="0" fillId="0" borderId="44" xfId="0" applyBorder="1">
      <alignment vertical="center"/>
    </xf>
    <xf numFmtId="0" fontId="0" fillId="0" borderId="43" xfId="0" applyBorder="1" applyAlignment="1">
      <alignment horizontal="center" vertical="center"/>
    </xf>
    <xf numFmtId="49" fontId="0" fillId="0" borderId="35" xfId="0" applyNumberFormat="1" applyBorder="1">
      <alignment vertical="center"/>
    </xf>
    <xf numFmtId="0" fontId="0" fillId="0" borderId="0" xfId="49" applyAlignment="1">
      <alignment vertical="center" wrapText="1"/>
    </xf>
    <xf numFmtId="0" fontId="6" fillId="0" borderId="0" xfId="49" applyFont="1" applyAlignment="1">
      <alignment vertical="center" wrapText="1" shrinkToFit="1"/>
    </xf>
    <xf numFmtId="0" fontId="3" fillId="0" borderId="0" xfId="49" applyFont="1" applyAlignment="1">
      <alignment horizontal="center" vertical="center" wrapText="1" shrinkToFit="1"/>
    </xf>
    <xf numFmtId="0" fontId="3" fillId="0" borderId="0" xfId="49" applyFont="1" applyAlignment="1">
      <alignment vertical="center" wrapText="1" shrinkToFit="1"/>
    </xf>
    <xf numFmtId="0" fontId="4" fillId="0" borderId="0" xfId="49" applyFont="1" applyAlignment="1">
      <alignment horizontal="center" vertical="center" wrapText="1" shrinkToFit="1"/>
    </xf>
    <xf numFmtId="0" fontId="5" fillId="0" borderId="45" xfId="49" applyFont="1" applyBorder="1" applyAlignment="1">
      <alignment horizontal="left" vertical="center" wrapText="1"/>
    </xf>
    <xf numFmtId="0" fontId="5" fillId="0" borderId="12" xfId="49" applyFont="1" applyBorder="1" applyAlignment="1">
      <alignment horizontal="left" vertical="center" wrapText="1"/>
    </xf>
    <xf numFmtId="0" fontId="6" fillId="0" borderId="38" xfId="49" applyFont="1" applyBorder="1" applyAlignment="1">
      <alignment horizontal="center" vertical="center" wrapText="1"/>
    </xf>
    <xf numFmtId="0" fontId="6" fillId="0" borderId="39" xfId="49" applyFont="1" applyBorder="1" applyAlignment="1">
      <alignment horizontal="center" vertical="center" wrapText="1"/>
    </xf>
    <xf numFmtId="177" fontId="6" fillId="0" borderId="12" xfId="0" applyNumberFormat="1" applyFont="1" applyBorder="1" applyAlignment="1">
      <alignment horizontal="center" vertical="center" wrapText="1"/>
    </xf>
    <xf numFmtId="177" fontId="6" fillId="0" borderId="46" xfId="0" applyNumberFormat="1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 wrapText="1" shrinkToFit="1"/>
    </xf>
    <xf numFmtId="0" fontId="1" fillId="0" borderId="2" xfId="49" applyFont="1" applyBorder="1" applyAlignment="1">
      <alignment horizontal="center" vertical="center" wrapText="1" shrinkToFit="1"/>
    </xf>
    <xf numFmtId="0" fontId="1" fillId="0" borderId="37" xfId="49" applyFont="1" applyBorder="1" applyAlignment="1">
      <alignment horizontal="center" vertical="center" wrapText="1" shrinkToFit="1"/>
    </xf>
    <xf numFmtId="0" fontId="1" fillId="3" borderId="2" xfId="49" applyFont="1" applyFill="1" applyBorder="1" applyAlignment="1">
      <alignment horizontal="center" vertical="center" wrapText="1" shrinkToFit="1"/>
    </xf>
    <xf numFmtId="0" fontId="1" fillId="4" borderId="18" xfId="49" applyFont="1" applyFill="1" applyBorder="1" applyAlignment="1">
      <alignment horizontal="center" vertical="center" wrapText="1" shrinkToFit="1"/>
    </xf>
    <xf numFmtId="0" fontId="1" fillId="5" borderId="37" xfId="49" applyFont="1" applyFill="1" applyBorder="1" applyAlignment="1">
      <alignment horizontal="center" vertical="center" wrapText="1" shrinkToFit="1"/>
    </xf>
    <xf numFmtId="0" fontId="1" fillId="5" borderId="2" xfId="49" applyFont="1" applyFill="1" applyBorder="1" applyAlignment="1">
      <alignment horizontal="center" vertical="center" wrapText="1" shrinkToFit="1"/>
    </xf>
    <xf numFmtId="0" fontId="1" fillId="6" borderId="2" xfId="49" applyFont="1" applyFill="1" applyBorder="1" applyAlignment="1">
      <alignment horizontal="center" vertical="center" wrapText="1" shrinkToFit="1"/>
    </xf>
    <xf numFmtId="0" fontId="1" fillId="4" borderId="2" xfId="49" applyFont="1" applyFill="1" applyBorder="1" applyAlignment="1">
      <alignment horizontal="center" vertical="center" wrapText="1" shrinkToFit="1"/>
    </xf>
    <xf numFmtId="0" fontId="1" fillId="7" borderId="2" xfId="49" applyFont="1" applyFill="1" applyBorder="1" applyAlignment="1">
      <alignment horizontal="center" vertical="center" wrapText="1" shrinkToFit="1"/>
    </xf>
    <xf numFmtId="49" fontId="1" fillId="0" borderId="3" xfId="49" applyNumberFormat="1" applyFont="1" applyBorder="1" applyAlignment="1">
      <alignment horizontal="center" vertical="center" wrapText="1" shrinkToFit="1"/>
    </xf>
    <xf numFmtId="0" fontId="1" fillId="0" borderId="4" xfId="49" applyFont="1" applyBorder="1" applyAlignment="1">
      <alignment horizontal="center" vertical="center" wrapText="1" shrinkToFit="1"/>
    </xf>
    <xf numFmtId="0" fontId="1" fillId="0" borderId="5" xfId="49" applyFont="1" applyBorder="1" applyAlignment="1">
      <alignment horizontal="center" vertical="center" wrapText="1" shrinkToFit="1"/>
    </xf>
    <xf numFmtId="0" fontId="1" fillId="0" borderId="28" xfId="49" applyFont="1" applyBorder="1" applyAlignment="1">
      <alignment horizontal="center" vertical="center" wrapText="1" shrinkToFit="1"/>
    </xf>
    <xf numFmtId="0" fontId="1" fillId="3" borderId="5" xfId="49" applyFont="1" applyFill="1" applyBorder="1" applyAlignment="1">
      <alignment horizontal="center" vertical="center" wrapText="1" shrinkToFit="1"/>
    </xf>
    <xf numFmtId="0" fontId="1" fillId="4" borderId="15" xfId="49" applyFont="1" applyFill="1" applyBorder="1" applyAlignment="1">
      <alignment horizontal="center" vertical="center" wrapText="1" shrinkToFit="1"/>
    </xf>
    <xf numFmtId="0" fontId="1" fillId="5" borderId="28" xfId="49" applyFont="1" applyFill="1" applyBorder="1" applyAlignment="1">
      <alignment horizontal="center" vertical="center" wrapText="1" shrinkToFit="1"/>
    </xf>
    <xf numFmtId="0" fontId="1" fillId="5" borderId="5" xfId="49" applyFont="1" applyFill="1" applyBorder="1" applyAlignment="1">
      <alignment horizontal="center" vertical="center" wrapText="1" shrinkToFit="1"/>
    </xf>
    <xf numFmtId="0" fontId="1" fillId="6" borderId="5" xfId="49" applyFont="1" applyFill="1" applyBorder="1" applyAlignment="1">
      <alignment horizontal="center" vertical="center" wrapText="1" shrinkToFit="1"/>
    </xf>
    <xf numFmtId="0" fontId="1" fillId="4" borderId="5" xfId="49" applyFont="1" applyFill="1" applyBorder="1" applyAlignment="1">
      <alignment horizontal="center" vertical="center" wrapText="1" shrinkToFit="1"/>
    </xf>
    <xf numFmtId="0" fontId="1" fillId="7" borderId="5" xfId="49" applyFont="1" applyFill="1" applyBorder="1" applyAlignment="1">
      <alignment horizontal="center" vertical="center" wrapText="1" shrinkToFit="1"/>
    </xf>
    <xf numFmtId="49" fontId="1" fillId="0" borderId="7" xfId="49" applyNumberFormat="1" applyFont="1" applyBorder="1" applyAlignment="1">
      <alignment horizontal="center" vertical="center" wrapText="1" shrinkToFit="1"/>
    </xf>
    <xf numFmtId="0" fontId="1" fillId="0" borderId="8" xfId="49" applyFont="1" applyBorder="1" applyAlignment="1">
      <alignment horizontal="center" vertical="center" wrapText="1" shrinkToFit="1"/>
    </xf>
    <xf numFmtId="0" fontId="3" fillId="38" borderId="5" xfId="0" applyFont="1" applyFill="1" applyBorder="1" applyAlignment="1">
      <alignment horizontal="center" vertical="center" wrapText="1" shrinkToFit="1"/>
    </xf>
    <xf numFmtId="0" fontId="1" fillId="5" borderId="8" xfId="49" applyFont="1" applyFill="1" applyBorder="1" applyAlignment="1">
      <alignment horizontal="center" vertical="center" wrapText="1" shrinkToFit="1"/>
    </xf>
    <xf numFmtId="0" fontId="3" fillId="0" borderId="4" xfId="49" applyFont="1" applyBorder="1" applyAlignment="1">
      <alignment horizontal="center" vertical="center" wrapText="1" shrinkToFit="1"/>
    </xf>
    <xf numFmtId="0" fontId="3" fillId="0" borderId="5" xfId="49" applyFont="1" applyBorder="1" applyAlignment="1">
      <alignment horizontal="center" vertical="center" wrapText="1" shrinkToFit="1"/>
    </xf>
    <xf numFmtId="0" fontId="3" fillId="11" borderId="5" xfId="49" applyFont="1" applyFill="1" applyBorder="1" applyAlignment="1">
      <alignment horizontal="center" vertical="center" wrapText="1" shrinkToFit="1"/>
    </xf>
    <xf numFmtId="0" fontId="3" fillId="4" borderId="5" xfId="49" applyFont="1" applyFill="1" applyBorder="1" applyAlignment="1">
      <alignment horizontal="center" vertical="center" wrapText="1" shrinkToFit="1"/>
    </xf>
    <xf numFmtId="0" fontId="3" fillId="21" borderId="5" xfId="49" applyFont="1" applyFill="1" applyBorder="1" applyAlignment="1">
      <alignment horizontal="center" vertical="center" wrapText="1" shrinkToFit="1"/>
    </xf>
    <xf numFmtId="49" fontId="3" fillId="0" borderId="7" xfId="49" applyNumberFormat="1" applyFont="1" applyBorder="1" applyAlignment="1">
      <alignment horizontal="center" vertical="center" wrapText="1" shrinkToFit="1"/>
    </xf>
    <xf numFmtId="179" fontId="3" fillId="0" borderId="8" xfId="0" applyNumberFormat="1" applyFont="1" applyBorder="1" applyAlignment="1">
      <alignment horizontal="center" vertical="center" wrapText="1" shrinkToFit="1"/>
    </xf>
    <xf numFmtId="176" fontId="3" fillId="0" borderId="5" xfId="0" applyNumberFormat="1" applyFont="1" applyBorder="1" applyAlignment="1">
      <alignment horizontal="center" vertical="center" wrapText="1" shrinkToFit="1"/>
    </xf>
    <xf numFmtId="1" fontId="3" fillId="0" borderId="5" xfId="0" applyNumberFormat="1" applyFont="1" applyBorder="1" applyAlignment="1">
      <alignment horizontal="center" vertical="center" wrapText="1" shrinkToFit="1"/>
    </xf>
    <xf numFmtId="180" fontId="3" fillId="0" borderId="5" xfId="49" applyNumberFormat="1" applyFont="1" applyBorder="1" applyAlignment="1">
      <alignment horizontal="center" vertical="center" shrinkToFit="1"/>
    </xf>
    <xf numFmtId="180" fontId="3" fillId="11" borderId="8" xfId="49" applyNumberFormat="1" applyFont="1" applyFill="1" applyBorder="1" applyAlignment="1">
      <alignment horizontal="center" vertical="center" wrapText="1" shrinkToFit="1"/>
    </xf>
    <xf numFmtId="0" fontId="3" fillId="0" borderId="8" xfId="49" applyFont="1" applyBorder="1" applyAlignment="1">
      <alignment horizontal="center" vertical="center" wrapText="1" shrinkToFit="1"/>
    </xf>
    <xf numFmtId="14" fontId="3" fillId="12" borderId="5" xfId="49" applyNumberFormat="1" applyFont="1" applyFill="1" applyBorder="1" applyAlignment="1">
      <alignment horizontal="center" vertical="center" wrapText="1" shrinkToFit="1"/>
    </xf>
    <xf numFmtId="14" fontId="3" fillId="0" borderId="5" xfId="49" applyNumberFormat="1" applyFont="1" applyBorder="1" applyAlignment="1">
      <alignment horizontal="center" vertical="center" wrapText="1" shrinkToFit="1"/>
    </xf>
    <xf numFmtId="0" fontId="2" fillId="39" borderId="7" xfId="0" applyFont="1" applyFill="1" applyBorder="1" applyAlignment="1">
      <alignment horizontal="center" vertical="center"/>
    </xf>
    <xf numFmtId="180" fontId="3" fillId="11" borderId="5" xfId="49" applyNumberFormat="1" applyFont="1" applyFill="1" applyBorder="1" applyAlignment="1">
      <alignment horizontal="center" vertical="center" wrapText="1" shrinkToFit="1"/>
    </xf>
    <xf numFmtId="0" fontId="9" fillId="0" borderId="5" xfId="49" applyFont="1" applyBorder="1" applyAlignment="1">
      <alignment horizontal="center" vertical="center" wrapText="1" shrinkToFit="1"/>
    </xf>
    <xf numFmtId="0" fontId="26" fillId="39" borderId="7" xfId="0" applyFont="1" applyFill="1" applyBorder="1" applyAlignment="1">
      <alignment horizontal="center" vertical="center"/>
    </xf>
    <xf numFmtId="179" fontId="3" fillId="0" borderId="5" xfId="0" applyNumberFormat="1" applyFont="1" applyFill="1" applyBorder="1" applyAlignment="1">
      <alignment horizontal="center" vertical="center" wrapText="1" shrinkToFit="1"/>
    </xf>
    <xf numFmtId="0" fontId="9" fillId="0" borderId="5" xfId="49" applyFont="1" applyFill="1" applyBorder="1" applyAlignment="1">
      <alignment horizontal="center" vertical="center" wrapText="1" shrinkToFit="1"/>
    </xf>
    <xf numFmtId="0" fontId="26" fillId="0" borderId="7" xfId="0" applyFont="1" applyBorder="1" applyAlignment="1">
      <alignment horizontal="center" vertical="center"/>
    </xf>
    <xf numFmtId="0" fontId="3" fillId="12" borderId="5" xfId="49" applyFont="1" applyFill="1" applyBorder="1" applyAlignment="1">
      <alignment horizontal="center" vertical="center" wrapText="1" shrinkToFit="1"/>
    </xf>
    <xf numFmtId="178" fontId="3" fillId="12" borderId="5" xfId="49" applyNumberFormat="1" applyFont="1" applyFill="1" applyBorder="1" applyAlignment="1">
      <alignment horizontal="center" vertical="center" wrapText="1" shrinkToFit="1"/>
    </xf>
    <xf numFmtId="14" fontId="9" fillId="0" borderId="5" xfId="49" applyNumberFormat="1" applyFont="1" applyBorder="1" applyAlignment="1">
      <alignment horizontal="center" vertical="center" wrapText="1" shrinkToFit="1"/>
    </xf>
    <xf numFmtId="49" fontId="3" fillId="0" borderId="7" xfId="49" applyNumberFormat="1" applyFont="1" applyBorder="1" applyAlignment="1">
      <alignment horizontal="center" vertical="center" wrapText="1"/>
    </xf>
    <xf numFmtId="180" fontId="3" fillId="0" borderId="5" xfId="49" applyNumberFormat="1" applyFont="1" applyBorder="1" applyAlignment="1">
      <alignment horizontal="center" vertical="center" wrapText="1" shrinkToFit="1"/>
    </xf>
    <xf numFmtId="178" fontId="3" fillId="0" borderId="5" xfId="49" applyNumberFormat="1" applyFont="1" applyBorder="1" applyAlignment="1">
      <alignment horizontal="center" vertical="center" wrapText="1" shrinkToFit="1"/>
    </xf>
    <xf numFmtId="0" fontId="0" fillId="0" borderId="4" xfId="49" applyBorder="1" applyAlignment="1">
      <alignment horizontal="center" vertical="center" wrapText="1" shrinkToFit="1"/>
    </xf>
    <xf numFmtId="0" fontId="0" fillId="0" borderId="5" xfId="49" applyBorder="1" applyAlignment="1">
      <alignment horizontal="center" vertical="center" wrapText="1" shrinkToFit="1"/>
    </xf>
    <xf numFmtId="183" fontId="3" fillId="0" borderId="5" xfId="49" applyNumberFormat="1" applyFont="1" applyBorder="1" applyAlignment="1">
      <alignment horizontal="center" vertical="center" wrapText="1" shrinkToFit="1"/>
    </xf>
    <xf numFmtId="0" fontId="30" fillId="0" borderId="4" xfId="49" applyFont="1" applyBorder="1" applyAlignment="1">
      <alignment horizontal="center" vertical="center" wrapText="1" shrinkToFit="1"/>
    </xf>
    <xf numFmtId="0" fontId="30" fillId="0" borderId="5" xfId="49" applyFont="1" applyBorder="1" applyAlignment="1">
      <alignment horizontal="center" vertical="center" wrapText="1" shrinkToFit="1"/>
    </xf>
    <xf numFmtId="0" fontId="4" fillId="0" borderId="5" xfId="49" applyFont="1" applyBorder="1" applyAlignment="1">
      <alignment horizontal="center" vertical="center" wrapText="1" shrinkToFit="1"/>
    </xf>
    <xf numFmtId="49" fontId="4" fillId="0" borderId="7" xfId="49" applyNumberFormat="1" applyFont="1" applyBorder="1" applyAlignment="1">
      <alignment horizontal="center" vertical="center" wrapText="1" shrinkToFit="1"/>
    </xf>
    <xf numFmtId="0" fontId="20" fillId="0" borderId="9" xfId="49" applyFont="1" applyBorder="1" applyAlignment="1">
      <alignment horizontal="center" vertical="center" wrapText="1" shrinkToFit="1"/>
    </xf>
    <xf numFmtId="0" fontId="20" fillId="0" borderId="10" xfId="49" applyFont="1" applyBorder="1" applyAlignment="1">
      <alignment horizontal="center" vertical="center" wrapText="1" shrinkToFit="1"/>
    </xf>
    <xf numFmtId="183" fontId="11" fillId="0" borderId="10" xfId="49" applyNumberFormat="1" applyFont="1" applyBorder="1" applyAlignment="1">
      <alignment horizontal="center" vertical="center" wrapText="1" shrinkToFit="1"/>
    </xf>
    <xf numFmtId="0" fontId="20" fillId="0" borderId="10" xfId="49" applyFont="1" applyBorder="1" applyAlignment="1">
      <alignment vertical="center" wrapText="1" shrinkToFit="1"/>
    </xf>
    <xf numFmtId="180" fontId="11" fillId="0" borderId="10" xfId="49" applyNumberFormat="1" applyFont="1" applyBorder="1" applyAlignment="1">
      <alignment horizontal="center" vertical="center" wrapText="1" shrinkToFit="1"/>
    </xf>
    <xf numFmtId="0" fontId="4" fillId="0" borderId="10" xfId="49" applyFont="1" applyBorder="1" applyAlignment="1">
      <alignment horizontal="center" vertical="center" wrapText="1" shrinkToFit="1"/>
    </xf>
    <xf numFmtId="49" fontId="4" fillId="0" borderId="11" xfId="49" applyNumberFormat="1" applyFont="1" applyBorder="1" applyAlignment="1">
      <alignment horizontal="center" vertical="center" wrapText="1" shrinkToFit="1"/>
    </xf>
    <xf numFmtId="0" fontId="6" fillId="16" borderId="0" xfId="49" applyFont="1" applyFill="1">
      <alignment vertical="center"/>
    </xf>
    <xf numFmtId="0" fontId="6" fillId="16" borderId="0" xfId="49" applyFont="1" applyFill="1" applyAlignment="1">
      <alignment vertical="center" wrapText="1"/>
    </xf>
    <xf numFmtId="0" fontId="0" fillId="16" borderId="0" xfId="49" applyFill="1" applyAlignment="1">
      <alignment vertical="center" wrapText="1"/>
    </xf>
    <xf numFmtId="0" fontId="0" fillId="0" borderId="0" xfId="49" applyAlignment="1">
      <alignment horizontal="center" vertical="center" wrapText="1"/>
    </xf>
    <xf numFmtId="49" fontId="0" fillId="0" borderId="0" xfId="49" applyNumberFormat="1" applyAlignment="1">
      <alignment horizontal="center" vertical="center" wrapText="1"/>
    </xf>
    <xf numFmtId="0" fontId="0" fillId="0" borderId="0" xfId="49" applyFill="1" applyAlignment="1">
      <alignment vertical="center" wrapText="1"/>
    </xf>
    <xf numFmtId="0" fontId="6" fillId="0" borderId="16" xfId="49" applyFont="1" applyBorder="1" applyAlignment="1">
      <alignment horizontal="center" vertical="center" wrapText="1"/>
    </xf>
    <xf numFmtId="0" fontId="6" fillId="0" borderId="18" xfId="49" applyFont="1" applyBorder="1" applyAlignment="1">
      <alignment horizontal="center" vertical="center" wrapText="1"/>
    </xf>
    <xf numFmtId="177" fontId="6" fillId="0" borderId="17" xfId="0" applyNumberFormat="1" applyFont="1" applyBorder="1" applyAlignment="1">
      <alignment horizontal="center" vertical="center" wrapText="1"/>
    </xf>
    <xf numFmtId="177" fontId="6" fillId="0" borderId="47" xfId="0" applyNumberFormat="1" applyFont="1" applyBorder="1" applyAlignment="1">
      <alignment horizontal="center" vertical="center" wrapText="1"/>
    </xf>
    <xf numFmtId="0" fontId="1" fillId="0" borderId="6" xfId="49" applyFont="1" applyBorder="1" applyAlignment="1">
      <alignment horizontal="center" vertical="center" wrapText="1" shrinkToFit="1"/>
    </xf>
    <xf numFmtId="0" fontId="1" fillId="40" borderId="24" xfId="49" applyFont="1" applyFill="1" applyBorder="1" applyAlignment="1">
      <alignment horizontal="center" vertical="center" wrapText="1" shrinkToFit="1"/>
    </xf>
    <xf numFmtId="0" fontId="1" fillId="5" borderId="6" xfId="49" applyFont="1" applyFill="1" applyBorder="1" applyAlignment="1">
      <alignment horizontal="center" vertical="center" wrapText="1" shrinkToFit="1"/>
    </xf>
    <xf numFmtId="0" fontId="6" fillId="0" borderId="0" xfId="49" applyFont="1" applyAlignment="1">
      <alignment horizontal="center" vertical="center" wrapText="1" shrinkToFit="1"/>
    </xf>
    <xf numFmtId="0" fontId="1" fillId="40" borderId="48" xfId="49" applyFont="1" applyFill="1" applyBorder="1" applyAlignment="1">
      <alignment horizontal="center" vertical="center" wrapText="1" shrinkToFit="1"/>
    </xf>
    <xf numFmtId="0" fontId="3" fillId="41" borderId="8" xfId="49" applyFont="1" applyFill="1" applyBorder="1" applyAlignment="1">
      <alignment horizontal="center" vertical="center" wrapText="1" shrinkToFit="1"/>
    </xf>
    <xf numFmtId="0" fontId="3" fillId="10" borderId="4" xfId="49" applyFont="1" applyFill="1" applyBorder="1" applyAlignment="1">
      <alignment horizontal="center" vertical="center" wrapText="1" shrinkToFit="1"/>
    </xf>
    <xf numFmtId="0" fontId="3" fillId="10" borderId="5" xfId="49" applyFont="1" applyFill="1" applyBorder="1" applyAlignment="1">
      <alignment horizontal="center" vertical="center" wrapText="1" shrinkToFit="1"/>
    </xf>
    <xf numFmtId="176" fontId="3" fillId="10" borderId="5" xfId="0" applyNumberFormat="1" applyFont="1" applyFill="1" applyBorder="1" applyAlignment="1">
      <alignment horizontal="center" vertical="center" wrapText="1" shrinkToFit="1"/>
    </xf>
    <xf numFmtId="1" fontId="3" fillId="10" borderId="5" xfId="0" applyNumberFormat="1" applyFont="1" applyFill="1" applyBorder="1" applyAlignment="1">
      <alignment horizontal="center" vertical="center" wrapText="1" shrinkToFit="1"/>
    </xf>
    <xf numFmtId="180" fontId="3" fillId="10" borderId="5" xfId="49" applyNumberFormat="1" applyFont="1" applyFill="1" applyBorder="1" applyAlignment="1">
      <alignment horizontal="center" vertical="center" shrinkToFit="1"/>
    </xf>
    <xf numFmtId="180" fontId="3" fillId="10" borderId="5" xfId="49" applyNumberFormat="1" applyFont="1" applyFill="1" applyBorder="1" applyAlignment="1">
      <alignment horizontal="center" vertical="center" wrapText="1" shrinkToFit="1"/>
    </xf>
    <xf numFmtId="0" fontId="3" fillId="10" borderId="8" xfId="49" applyFont="1" applyFill="1" applyBorder="1" applyAlignment="1">
      <alignment horizontal="center" vertical="center" wrapText="1" shrinkToFit="1"/>
    </xf>
    <xf numFmtId="178" fontId="3" fillId="10" borderId="5" xfId="49" applyNumberFormat="1" applyFont="1" applyFill="1" applyBorder="1" applyAlignment="1">
      <alignment horizontal="center" vertical="center" wrapText="1" shrinkToFit="1"/>
    </xf>
    <xf numFmtId="14" fontId="3" fillId="10" borderId="5" xfId="49" applyNumberFormat="1" applyFont="1" applyFill="1" applyBorder="1" applyAlignment="1">
      <alignment horizontal="center" vertical="center" wrapText="1" shrinkToFit="1"/>
    </xf>
    <xf numFmtId="0" fontId="9" fillId="10" borderId="5" xfId="49" applyFont="1" applyFill="1" applyBorder="1" applyAlignment="1">
      <alignment horizontal="center" vertical="center" wrapText="1" shrinkToFit="1"/>
    </xf>
    <xf numFmtId="49" fontId="3" fillId="10" borderId="7" xfId="49" applyNumberFormat="1" applyFont="1" applyFill="1" applyBorder="1" applyAlignment="1">
      <alignment horizontal="center" vertical="center" wrapText="1"/>
    </xf>
    <xf numFmtId="14" fontId="9" fillId="10" borderId="5" xfId="49" applyNumberFormat="1" applyFont="1" applyFill="1" applyBorder="1" applyAlignment="1">
      <alignment horizontal="center" vertical="center" wrapText="1" shrinkToFit="1"/>
    </xf>
    <xf numFmtId="0" fontId="3" fillId="10" borderId="8" xfId="0" applyFont="1" applyFill="1" applyBorder="1" applyAlignment="1">
      <alignment horizontal="center" vertical="center" wrapText="1" shrinkToFit="1"/>
    </xf>
    <xf numFmtId="49" fontId="0" fillId="0" borderId="0" xfId="49" applyNumberFormat="1" applyAlignment="1">
      <alignment vertical="center" wrapText="1"/>
    </xf>
    <xf numFmtId="0" fontId="0" fillId="12" borderId="0" xfId="49" applyFill="1" applyAlignment="1">
      <alignment vertical="center"/>
    </xf>
    <xf numFmtId="0" fontId="0" fillId="12" borderId="0" xfId="49" applyFill="1" applyAlignment="1">
      <alignment vertical="center" wrapText="1"/>
    </xf>
    <xf numFmtId="0" fontId="0" fillId="0" borderId="0" xfId="49" applyFill="1" applyAlignment="1">
      <alignment horizontal="center" vertical="center" wrapText="1"/>
    </xf>
    <xf numFmtId="49" fontId="0" fillId="0" borderId="0" xfId="49" applyNumberFormat="1" applyFill="1" applyAlignment="1">
      <alignment vertical="center" wrapText="1"/>
    </xf>
    <xf numFmtId="0" fontId="3" fillId="25" borderId="5" xfId="49" applyFont="1" applyFill="1" applyBorder="1" applyAlignment="1">
      <alignment horizontal="center" vertical="center" wrapText="1" shrinkToFit="1"/>
    </xf>
    <xf numFmtId="0" fontId="3" fillId="11" borderId="8" xfId="49" applyFont="1" applyFill="1" applyBorder="1" applyAlignment="1">
      <alignment horizontal="center" vertical="center" wrapText="1" shrinkToFit="1"/>
    </xf>
    <xf numFmtId="58" fontId="3" fillId="10" borderId="5" xfId="49" applyNumberFormat="1" applyFont="1" applyFill="1" applyBorder="1" applyAlignment="1">
      <alignment horizontal="center" vertical="center" wrapText="1" shrinkToFit="1"/>
    </xf>
    <xf numFmtId="0" fontId="3" fillId="0" borderId="4" xfId="49" applyFont="1" applyFill="1" applyBorder="1" applyAlignment="1">
      <alignment horizontal="center" vertical="center" wrapText="1" shrinkToFit="1"/>
    </xf>
    <xf numFmtId="0" fontId="3" fillId="0" borderId="5" xfId="49" applyFont="1" applyFill="1" applyBorder="1" applyAlignment="1">
      <alignment horizontal="center" vertical="center" wrapText="1" shrinkToFit="1"/>
    </xf>
    <xf numFmtId="176" fontId="3" fillId="0" borderId="5" xfId="0" applyNumberFormat="1" applyFont="1" applyFill="1" applyBorder="1" applyAlignment="1">
      <alignment horizontal="center" vertical="center" wrapText="1"/>
    </xf>
    <xf numFmtId="176" fontId="3" fillId="0" borderId="5" xfId="0" applyNumberFormat="1" applyFont="1" applyFill="1" applyBorder="1" applyAlignment="1">
      <alignment horizontal="center" vertical="center" wrapText="1" shrinkToFit="1"/>
    </xf>
    <xf numFmtId="1" fontId="3" fillId="0" borderId="5" xfId="0" applyNumberFormat="1" applyFont="1" applyFill="1" applyBorder="1" applyAlignment="1">
      <alignment horizontal="center" vertical="center" wrapText="1" shrinkToFit="1"/>
    </xf>
    <xf numFmtId="180" fontId="3" fillId="0" borderId="5" xfId="49" applyNumberFormat="1" applyFont="1" applyFill="1" applyBorder="1" applyAlignment="1">
      <alignment horizontal="center" vertical="center" shrinkToFit="1"/>
    </xf>
    <xf numFmtId="0" fontId="30" fillId="11" borderId="5" xfId="49" applyFont="1" applyFill="1" applyBorder="1" applyAlignment="1">
      <alignment horizontal="center" vertical="center" wrapText="1" shrinkToFit="1"/>
    </xf>
    <xf numFmtId="180" fontId="11" fillId="11" borderId="10" xfId="49" applyNumberFormat="1" applyFont="1" applyFill="1" applyBorder="1" applyAlignment="1">
      <alignment horizontal="center" vertical="center" wrapText="1" shrinkToFit="1"/>
    </xf>
    <xf numFmtId="0" fontId="0" fillId="0" borderId="0" xfId="49" applyAlignment="1">
      <alignment vertical="center"/>
    </xf>
    <xf numFmtId="0" fontId="1" fillId="40" borderId="13" xfId="49" applyFont="1" applyFill="1" applyBorder="1" applyAlignment="1">
      <alignment horizontal="center" vertical="center" wrapText="1" shrinkToFit="1"/>
    </xf>
    <xf numFmtId="0" fontId="1" fillId="40" borderId="14" xfId="49" applyFont="1" applyFill="1" applyBorder="1" applyAlignment="1">
      <alignment horizontal="center" vertical="center" wrapText="1" shrinkToFit="1"/>
    </xf>
    <xf numFmtId="0" fontId="1" fillId="40" borderId="15" xfId="49" applyFont="1" applyFill="1" applyBorder="1" applyAlignment="1">
      <alignment horizontal="center" vertical="center" wrapText="1" shrinkToFit="1"/>
    </xf>
    <xf numFmtId="0" fontId="1" fillId="0" borderId="14" xfId="49" applyFont="1" applyBorder="1" applyAlignment="1">
      <alignment horizontal="center" vertical="center" wrapText="1" shrinkToFit="1"/>
    </xf>
    <xf numFmtId="0" fontId="1" fillId="42" borderId="13" xfId="49" applyFont="1" applyFill="1" applyBorder="1" applyAlignment="1">
      <alignment horizontal="center" vertical="center" wrapText="1" shrinkToFit="1"/>
    </xf>
    <xf numFmtId="0" fontId="1" fillId="42" borderId="14" xfId="49" applyFont="1" applyFill="1" applyBorder="1" applyAlignment="1">
      <alignment horizontal="center" vertical="center" wrapText="1" shrinkToFit="1"/>
    </xf>
    <xf numFmtId="0" fontId="1" fillId="42" borderId="15" xfId="49" applyFont="1" applyFill="1" applyBorder="1" applyAlignment="1">
      <alignment horizontal="center" vertical="center" wrapText="1" shrinkToFit="1"/>
    </xf>
    <xf numFmtId="0" fontId="1" fillId="42" borderId="5" xfId="49" applyFont="1" applyFill="1" applyBorder="1" applyAlignment="1">
      <alignment horizontal="center" vertical="center" wrapText="1" shrinkToFit="1"/>
    </xf>
    <xf numFmtId="0" fontId="1" fillId="3" borderId="13" xfId="49" applyFont="1" applyFill="1" applyBorder="1" applyAlignment="1">
      <alignment horizontal="center" vertical="center" wrapText="1" shrinkToFit="1"/>
    </xf>
    <xf numFmtId="0" fontId="1" fillId="3" borderId="14" xfId="49" applyFont="1" applyFill="1" applyBorder="1" applyAlignment="1">
      <alignment horizontal="center" vertical="center" wrapText="1" shrinkToFit="1"/>
    </xf>
    <xf numFmtId="0" fontId="1" fillId="3" borderId="15" xfId="49" applyFont="1" applyFill="1" applyBorder="1" applyAlignment="1">
      <alignment horizontal="center" vertical="center" wrapText="1" shrinkToFit="1"/>
    </xf>
    <xf numFmtId="0" fontId="1" fillId="0" borderId="13" xfId="49" applyFont="1" applyBorder="1" applyAlignment="1">
      <alignment horizontal="center" vertical="center" wrapText="1" shrinkToFit="1"/>
    </xf>
    <xf numFmtId="0" fontId="1" fillId="0" borderId="15" xfId="49" applyFont="1" applyBorder="1" applyAlignment="1">
      <alignment horizontal="center" vertical="center" wrapText="1" shrinkToFit="1"/>
    </xf>
    <xf numFmtId="0" fontId="3" fillId="43" borderId="5" xfId="49" applyFont="1" applyFill="1" applyBorder="1" applyAlignment="1">
      <alignment horizontal="center" vertical="center" wrapText="1" shrinkToFit="1"/>
    </xf>
    <xf numFmtId="0" fontId="6" fillId="8" borderId="5" xfId="49" applyFont="1" applyFill="1" applyBorder="1" applyAlignment="1">
      <alignment horizontal="center" vertical="center" wrapText="1" shrinkToFit="1"/>
    </xf>
    <xf numFmtId="0" fontId="6" fillId="0" borderId="5" xfId="49" applyFont="1" applyBorder="1" applyAlignment="1">
      <alignment horizontal="center" vertical="center" wrapText="1" shrinkToFit="1"/>
    </xf>
    <xf numFmtId="0" fontId="3" fillId="43" borderId="8" xfId="49" applyFont="1" applyFill="1" applyBorder="1" applyAlignment="1">
      <alignment horizontal="center" vertical="center" wrapText="1" shrinkToFit="1"/>
    </xf>
    <xf numFmtId="0" fontId="3" fillId="38" borderId="8" xfId="0" applyFont="1" applyFill="1" applyBorder="1" applyAlignment="1">
      <alignment horizontal="center" vertical="center" wrapText="1" shrinkToFit="1"/>
    </xf>
    <xf numFmtId="0" fontId="3" fillId="0" borderId="0" xfId="49" applyFont="1" applyAlignment="1">
      <alignment horizontal="center" vertical="center" shrinkToFit="1"/>
    </xf>
    <xf numFmtId="178" fontId="11" fillId="10" borderId="5" xfId="49" applyNumberFormat="1" applyFont="1" applyFill="1" applyBorder="1" applyAlignment="1">
      <alignment horizontal="center" vertical="center" wrapText="1" shrinkToFit="1"/>
    </xf>
    <xf numFmtId="0" fontId="9" fillId="39" borderId="0" xfId="0" applyFont="1" applyFill="1" applyAlignment="1">
      <alignment horizontal="center" vertical="center"/>
    </xf>
    <xf numFmtId="0" fontId="26" fillId="39" borderId="0" xfId="0" applyFont="1" applyFill="1" applyAlignment="1">
      <alignment horizontal="center" vertical="center"/>
    </xf>
    <xf numFmtId="178" fontId="10" fillId="10" borderId="5" xfId="49" applyNumberFormat="1" applyFont="1" applyFill="1" applyBorder="1" applyAlignment="1">
      <alignment horizontal="center" vertical="center" wrapText="1" shrinkToFit="1"/>
    </xf>
    <xf numFmtId="180" fontId="3" fillId="28" borderId="5" xfId="49" applyNumberFormat="1" applyFont="1" applyFill="1" applyBorder="1" applyAlignment="1">
      <alignment horizontal="center" vertical="center" wrapText="1" shrinkToFit="1"/>
    </xf>
    <xf numFmtId="0" fontId="3" fillId="44" borderId="4" xfId="49" applyFont="1" applyFill="1" applyBorder="1" applyAlignment="1">
      <alignment horizontal="center" vertical="center" wrapText="1" shrinkToFit="1"/>
    </xf>
    <xf numFmtId="0" fontId="3" fillId="44" borderId="5" xfId="0" applyFont="1" applyFill="1" applyBorder="1" applyAlignment="1">
      <alignment horizontal="center" vertical="center" wrapText="1" shrinkToFit="1"/>
    </xf>
    <xf numFmtId="0" fontId="3" fillId="44" borderId="5" xfId="0" applyFont="1" applyFill="1" applyBorder="1" applyAlignment="1">
      <alignment horizontal="center" vertical="center" shrinkToFit="1"/>
    </xf>
    <xf numFmtId="179" fontId="3" fillId="44" borderId="5" xfId="0" applyNumberFormat="1" applyFont="1" applyFill="1" applyBorder="1" applyAlignment="1">
      <alignment horizontal="center" vertical="center" wrapText="1" shrinkToFit="1"/>
    </xf>
    <xf numFmtId="176" fontId="3" fillId="44" borderId="5" xfId="0" applyNumberFormat="1" applyFont="1" applyFill="1" applyBorder="1" applyAlignment="1">
      <alignment horizontal="center" vertical="center" wrapText="1"/>
    </xf>
    <xf numFmtId="176" fontId="3" fillId="44" borderId="5" xfId="0" applyNumberFormat="1" applyFont="1" applyFill="1" applyBorder="1" applyAlignment="1">
      <alignment horizontal="center" vertical="center" wrapText="1" shrinkToFit="1"/>
    </xf>
    <xf numFmtId="1" fontId="3" fillId="44" borderId="5" xfId="0" applyNumberFormat="1" applyFont="1" applyFill="1" applyBorder="1" applyAlignment="1">
      <alignment horizontal="center" vertical="center" wrapText="1" shrinkToFit="1"/>
    </xf>
    <xf numFmtId="180" fontId="3" fillId="44" borderId="5" xfId="49" applyNumberFormat="1" applyFont="1" applyFill="1" applyBorder="1" applyAlignment="1">
      <alignment horizontal="center" vertical="center" shrinkToFit="1"/>
    </xf>
    <xf numFmtId="180" fontId="3" fillId="44" borderId="5" xfId="49" applyNumberFormat="1" applyFont="1" applyFill="1" applyBorder="1" applyAlignment="1">
      <alignment horizontal="center" vertical="center" wrapText="1" shrinkToFit="1"/>
    </xf>
    <xf numFmtId="0" fontId="3" fillId="44" borderId="5" xfId="49" applyFont="1" applyFill="1" applyBorder="1" applyAlignment="1">
      <alignment horizontal="center" vertical="center" wrapText="1" shrinkToFit="1"/>
    </xf>
    <xf numFmtId="178" fontId="3" fillId="44" borderId="5" xfId="49" applyNumberFormat="1" applyFont="1" applyFill="1" applyBorder="1" applyAlignment="1">
      <alignment horizontal="center" vertical="center" wrapText="1" shrinkToFit="1"/>
    </xf>
    <xf numFmtId="14" fontId="9" fillId="44" borderId="5" xfId="49" applyNumberFormat="1" applyFont="1" applyFill="1" applyBorder="1" applyAlignment="1">
      <alignment horizontal="center" vertical="center" wrapText="1" shrinkToFit="1"/>
    </xf>
    <xf numFmtId="14" fontId="3" fillId="44" borderId="5" xfId="49" applyNumberFormat="1" applyFont="1" applyFill="1" applyBorder="1" applyAlignment="1">
      <alignment horizontal="center" vertical="center" wrapText="1" shrinkToFit="1"/>
    </xf>
    <xf numFmtId="49" fontId="3" fillId="44" borderId="7" xfId="49" applyNumberFormat="1" applyFont="1" applyFill="1" applyBorder="1" applyAlignment="1">
      <alignment horizontal="center" vertical="center" wrapText="1"/>
    </xf>
    <xf numFmtId="0" fontId="9" fillId="12" borderId="5" xfId="49" applyFont="1" applyFill="1" applyBorder="1" applyAlignment="1">
      <alignment horizontal="center" vertical="center" wrapText="1" shrinkToFit="1"/>
    </xf>
    <xf numFmtId="176" fontId="3" fillId="15" borderId="5" xfId="0" applyNumberFormat="1" applyFont="1" applyFill="1" applyBorder="1" applyAlignment="1">
      <alignment horizontal="center" vertical="center" wrapText="1"/>
    </xf>
    <xf numFmtId="176" fontId="3" fillId="15" borderId="5" xfId="0" applyNumberFormat="1" applyFont="1" applyFill="1" applyBorder="1" applyAlignment="1">
      <alignment horizontal="center" vertical="center" wrapText="1" shrinkToFit="1"/>
    </xf>
    <xf numFmtId="1" fontId="3" fillId="15" borderId="5" xfId="0" applyNumberFormat="1" applyFont="1" applyFill="1" applyBorder="1" applyAlignment="1">
      <alignment horizontal="center" vertical="center" wrapText="1" shrinkToFit="1"/>
    </xf>
    <xf numFmtId="180" fontId="3" fillId="15" borderId="5" xfId="49" applyNumberFormat="1" applyFont="1" applyFill="1" applyBorder="1" applyAlignment="1">
      <alignment horizontal="center" vertical="center" shrinkToFit="1"/>
    </xf>
    <xf numFmtId="0" fontId="28" fillId="0" borderId="5" xfId="49" applyFont="1" applyBorder="1" applyAlignment="1">
      <alignment horizontal="center" vertical="center" wrapText="1" shrinkToFit="1"/>
    </xf>
    <xf numFmtId="183" fontId="11" fillId="45" borderId="10" xfId="49" applyNumberFormat="1" applyFont="1" applyFill="1" applyBorder="1" applyAlignment="1">
      <alignment horizontal="center" vertical="center" wrapText="1" shrinkToFit="1"/>
    </xf>
    <xf numFmtId="183" fontId="5" fillId="0" borderId="2" xfId="0" applyNumberFormat="1" applyFont="1" applyBorder="1" applyAlignment="1">
      <alignment horizontal="left" vertical="center"/>
    </xf>
    <xf numFmtId="0" fontId="3" fillId="46" borderId="4" xfId="0" applyFont="1" applyFill="1" applyBorder="1" applyAlignment="1">
      <alignment horizontal="center" vertical="center" shrinkToFit="1"/>
    </xf>
    <xf numFmtId="0" fontId="3" fillId="46" borderId="5" xfId="0" applyFont="1" applyFill="1" applyBorder="1" applyAlignment="1">
      <alignment horizontal="center" vertical="center" wrapText="1" shrinkToFit="1"/>
    </xf>
    <xf numFmtId="0" fontId="3" fillId="46" borderId="5" xfId="0" applyFont="1" applyFill="1" applyBorder="1" applyAlignment="1">
      <alignment horizontal="center" vertical="center" shrinkToFit="1"/>
    </xf>
    <xf numFmtId="179" fontId="3" fillId="46" borderId="5" xfId="0" applyNumberFormat="1" applyFont="1" applyFill="1" applyBorder="1" applyAlignment="1">
      <alignment horizontal="center" vertical="center" shrinkToFit="1"/>
    </xf>
    <xf numFmtId="176" fontId="3" fillId="46" borderId="5" xfId="0" applyNumberFormat="1" applyFont="1" applyFill="1" applyBorder="1" applyAlignment="1">
      <alignment horizontal="center" vertical="center"/>
    </xf>
    <xf numFmtId="176" fontId="3" fillId="46" borderId="5" xfId="0" applyNumberFormat="1" applyFont="1" applyFill="1" applyBorder="1" applyAlignment="1">
      <alignment horizontal="center" vertical="center" shrinkToFit="1"/>
    </xf>
    <xf numFmtId="183" fontId="3" fillId="46" borderId="5" xfId="0" applyNumberFormat="1" applyFont="1" applyFill="1" applyBorder="1" applyAlignment="1">
      <alignment horizontal="center" vertical="center" shrinkToFit="1"/>
    </xf>
    <xf numFmtId="14" fontId="3" fillId="12" borderId="5" xfId="0" applyNumberFormat="1" applyFont="1" applyFill="1" applyBorder="1" applyAlignment="1">
      <alignment horizontal="center" vertical="center" wrapText="1" shrinkToFit="1"/>
    </xf>
    <xf numFmtId="183" fontId="4" fillId="0" borderId="5" xfId="0" applyNumberFormat="1" applyFont="1" applyBorder="1" applyAlignment="1">
      <alignment horizontal="center" vertical="center" shrinkToFit="1"/>
    </xf>
    <xf numFmtId="183" fontId="14" fillId="0" borderId="10" xfId="0" applyNumberFormat="1" applyFont="1" applyBorder="1" applyAlignment="1">
      <alignment horizontal="center" vertical="center" shrinkToFit="1"/>
    </xf>
    <xf numFmtId="0" fontId="0" fillId="0" borderId="12" xfId="0" applyBorder="1" applyAlignment="1">
      <alignment horizontal="center" vertical="center"/>
    </xf>
    <xf numFmtId="183" fontId="5" fillId="0" borderId="2" xfId="0" applyNumberFormat="1" applyFont="1" applyBorder="1" applyAlignment="1">
      <alignment horizontal="center" vertical="center"/>
    </xf>
    <xf numFmtId="58" fontId="3" fillId="10" borderId="5" xfId="0" applyNumberFormat="1" applyFont="1" applyFill="1" applyBorder="1" applyAlignment="1">
      <alignment horizontal="center" vertical="center" shrinkToFit="1"/>
    </xf>
    <xf numFmtId="183" fontId="14" fillId="0" borderId="10" xfId="0" applyNumberFormat="1" applyFont="1" applyBorder="1" applyAlignment="1">
      <alignment vertical="center" shrinkToFit="1"/>
    </xf>
    <xf numFmtId="0" fontId="31" fillId="0" borderId="0" xfId="0" applyFont="1" applyAlignment="1">
      <alignment horizontal="center" vertical="center" wrapText="1" shrinkToFit="1"/>
    </xf>
    <xf numFmtId="1" fontId="3" fillId="10" borderId="8" xfId="0" applyNumberFormat="1" applyFont="1" applyFill="1" applyBorder="1" applyAlignment="1">
      <alignment horizontal="center" vertical="center" shrinkToFit="1"/>
    </xf>
    <xf numFmtId="0" fontId="3" fillId="10" borderId="15" xfId="0" applyFont="1" applyFill="1" applyBorder="1" applyAlignment="1">
      <alignment horizontal="center" vertical="center" wrapText="1" shrinkToFit="1"/>
    </xf>
    <xf numFmtId="0" fontId="3" fillId="10" borderId="0" xfId="0" applyFont="1" applyFill="1" applyAlignment="1">
      <alignment horizontal="center" vertical="center" wrapText="1" shrinkToFit="1"/>
    </xf>
    <xf numFmtId="0" fontId="3" fillId="10" borderId="5" xfId="0" applyFont="1" applyFill="1" applyBorder="1" applyAlignment="1">
      <alignment vertical="center" shrinkToFit="1"/>
    </xf>
    <xf numFmtId="0" fontId="3" fillId="10" borderId="15" xfId="0" applyFont="1" applyFill="1" applyBorder="1" applyAlignment="1">
      <alignment vertical="center" shrinkToFit="1"/>
    </xf>
    <xf numFmtId="1" fontId="10" fillId="10" borderId="5" xfId="0" applyNumberFormat="1" applyFont="1" applyFill="1" applyBorder="1" applyAlignment="1">
      <alignment horizontal="center" vertical="center" shrinkToFit="1"/>
    </xf>
    <xf numFmtId="0" fontId="3" fillId="10" borderId="8" xfId="0" applyFont="1" applyFill="1" applyBorder="1" applyAlignment="1">
      <alignment vertical="center" shrinkToFit="1"/>
    </xf>
    <xf numFmtId="49" fontId="3" fillId="10" borderId="5" xfId="0" applyNumberFormat="1" applyFont="1" applyFill="1" applyBorder="1" applyAlignment="1">
      <alignment horizontal="center" vertical="center" wrapText="1" shrinkToFit="1"/>
    </xf>
    <xf numFmtId="176" fontId="32" fillId="10" borderId="5" xfId="0" applyNumberFormat="1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 shrinkToFit="1"/>
    </xf>
    <xf numFmtId="49" fontId="9" fillId="10" borderId="7" xfId="0" applyNumberFormat="1" applyFont="1" applyFill="1" applyBorder="1" applyAlignment="1">
      <alignment horizontal="center" vertical="center" wrapText="1" shrinkToFit="1"/>
    </xf>
    <xf numFmtId="1" fontId="9" fillId="10" borderId="5" xfId="0" applyNumberFormat="1" applyFont="1" applyFill="1" applyBorder="1" applyAlignment="1">
      <alignment horizontal="center" vertical="center" shrinkToFit="1"/>
    </xf>
    <xf numFmtId="0" fontId="3" fillId="44" borderId="4" xfId="0" applyFont="1" applyFill="1" applyBorder="1" applyAlignment="1">
      <alignment horizontal="center" vertical="center" shrinkToFit="1"/>
    </xf>
    <xf numFmtId="176" fontId="3" fillId="44" borderId="5" xfId="0" applyNumberFormat="1" applyFont="1" applyFill="1" applyBorder="1" applyAlignment="1">
      <alignment horizontal="center" vertical="center"/>
    </xf>
    <xf numFmtId="176" fontId="3" fillId="44" borderId="5" xfId="0" applyNumberFormat="1" applyFont="1" applyFill="1" applyBorder="1" applyAlignment="1">
      <alignment horizontal="center" vertical="center" shrinkToFit="1"/>
    </xf>
    <xf numFmtId="1" fontId="3" fillId="44" borderId="5" xfId="0" applyNumberFormat="1" applyFont="1" applyFill="1" applyBorder="1" applyAlignment="1">
      <alignment horizontal="center" vertical="center" shrinkToFit="1"/>
    </xf>
    <xf numFmtId="1" fontId="3" fillId="44" borderId="8" xfId="0" applyNumberFormat="1" applyFont="1" applyFill="1" applyBorder="1" applyAlignment="1">
      <alignment horizontal="center" vertical="center" shrinkToFit="1"/>
    </xf>
    <xf numFmtId="0" fontId="3" fillId="44" borderId="8" xfId="0" applyFont="1" applyFill="1" applyBorder="1" applyAlignment="1">
      <alignment vertical="center" shrinkToFit="1"/>
    </xf>
    <xf numFmtId="0" fontId="3" fillId="44" borderId="5" xfId="0" applyFont="1" applyFill="1" applyBorder="1" applyAlignment="1">
      <alignment vertical="center" shrinkToFit="1"/>
    </xf>
    <xf numFmtId="14" fontId="3" fillId="44" borderId="5" xfId="0" applyNumberFormat="1" applyFont="1" applyFill="1" applyBorder="1" applyAlignment="1">
      <alignment horizontal="center" vertical="center" shrinkToFit="1"/>
    </xf>
    <xf numFmtId="14" fontId="9" fillId="44" borderId="5" xfId="0" applyNumberFormat="1" applyFont="1" applyFill="1" applyBorder="1" applyAlignment="1">
      <alignment horizontal="center" vertical="center" wrapText="1" shrinkToFit="1"/>
    </xf>
    <xf numFmtId="14" fontId="3" fillId="44" borderId="5" xfId="0" applyNumberFormat="1" applyFont="1" applyFill="1" applyBorder="1" applyAlignment="1">
      <alignment horizontal="center" vertical="center" wrapText="1" shrinkToFit="1"/>
    </xf>
    <xf numFmtId="49" fontId="3" fillId="44" borderId="7" xfId="0" applyNumberFormat="1" applyFont="1" applyFill="1" applyBorder="1" applyAlignment="1">
      <alignment horizontal="center" vertical="center" wrapText="1" shrinkToFit="1"/>
    </xf>
    <xf numFmtId="0" fontId="3" fillId="44" borderId="8" xfId="0" applyFont="1" applyFill="1" applyBorder="1" applyAlignment="1">
      <alignment horizontal="center" vertical="center" wrapText="1" shrinkToFit="1"/>
    </xf>
    <xf numFmtId="1" fontId="3" fillId="0" borderId="5" xfId="0" applyNumberFormat="1" applyFont="1" applyFill="1" applyBorder="1" applyAlignment="1">
      <alignment horizontal="center" vertical="center" shrinkToFit="1"/>
    </xf>
    <xf numFmtId="1" fontId="3" fillId="0" borderId="8" xfId="0" applyNumberFormat="1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 shrinkToFit="1"/>
    </xf>
    <xf numFmtId="0" fontId="3" fillId="14" borderId="5" xfId="0" applyFont="1" applyFill="1" applyBorder="1" applyAlignment="1">
      <alignment horizontal="center" vertical="center" wrapText="1" shrinkToFit="1"/>
    </xf>
    <xf numFmtId="0" fontId="3" fillId="14" borderId="5" xfId="0" applyFont="1" applyFill="1" applyBorder="1" applyAlignment="1">
      <alignment horizontal="center" vertical="center" shrinkToFit="1"/>
    </xf>
    <xf numFmtId="179" fontId="3" fillId="14" borderId="5" xfId="0" applyNumberFormat="1" applyFont="1" applyFill="1" applyBorder="1" applyAlignment="1">
      <alignment horizontal="center" vertical="center" shrinkToFit="1"/>
    </xf>
    <xf numFmtId="176" fontId="3" fillId="14" borderId="5" xfId="0" applyNumberFormat="1" applyFont="1" applyFill="1" applyBorder="1" applyAlignment="1">
      <alignment horizontal="center" vertical="center"/>
    </xf>
    <xf numFmtId="176" fontId="3" fillId="14" borderId="5" xfId="0" applyNumberFormat="1" applyFont="1" applyFill="1" applyBorder="1" applyAlignment="1">
      <alignment horizontal="center" vertical="center" shrinkToFit="1"/>
    </xf>
    <xf numFmtId="1" fontId="3" fillId="14" borderId="5" xfId="0" applyNumberFormat="1" applyFont="1" applyFill="1" applyBorder="1" applyAlignment="1">
      <alignment horizontal="center" vertical="center" shrinkToFit="1"/>
    </xf>
    <xf numFmtId="180" fontId="30" fillId="0" borderId="5" xfId="0" applyNumberFormat="1" applyFont="1" applyBorder="1" applyAlignment="1">
      <alignment horizontal="center" vertical="center" shrinkToFit="1"/>
    </xf>
    <xf numFmtId="0" fontId="3" fillId="47" borderId="0" xfId="0" applyFont="1" applyFill="1" applyAlignment="1">
      <alignment horizontal="center" vertical="center" wrapText="1" shrinkToFit="1"/>
    </xf>
    <xf numFmtId="0" fontId="3" fillId="48" borderId="0" xfId="0" applyFont="1" applyFill="1" applyAlignment="1">
      <alignment horizontal="center" vertical="center" wrapText="1" shrinkToFit="1"/>
    </xf>
    <xf numFmtId="0" fontId="3" fillId="27" borderId="8" xfId="0" applyFont="1" applyFill="1" applyBorder="1" applyAlignment="1">
      <alignment horizontal="center" vertical="center" shrinkToFit="1"/>
    </xf>
    <xf numFmtId="0" fontId="3" fillId="11" borderId="5" xfId="0" applyFont="1" applyFill="1" applyBorder="1" applyAlignment="1">
      <alignment horizontal="center" vertical="center" wrapText="1" shrinkToFit="1"/>
    </xf>
    <xf numFmtId="0" fontId="3" fillId="11" borderId="8" xfId="0" applyFont="1" applyFill="1" applyBorder="1" applyAlignment="1">
      <alignment horizontal="center" vertical="center" wrapText="1" shrinkToFit="1"/>
    </xf>
    <xf numFmtId="0" fontId="3" fillId="49" borderId="8" xfId="0" applyFont="1" applyFill="1" applyBorder="1" applyAlignment="1">
      <alignment horizontal="center" vertical="center" wrapText="1" shrinkToFit="1"/>
    </xf>
    <xf numFmtId="0" fontId="3" fillId="10" borderId="0" xfId="0" applyFont="1" applyFill="1" applyAlignment="1">
      <alignment vertical="center" shrinkToFit="1"/>
    </xf>
    <xf numFmtId="38" fontId="3" fillId="0" borderId="5" xfId="0" applyNumberFormat="1" applyFont="1" applyFill="1" applyBorder="1" applyAlignment="1">
      <alignment horizontal="center" vertical="center" wrapText="1" shrinkToFit="1"/>
    </xf>
    <xf numFmtId="0" fontId="3" fillId="12" borderId="8" xfId="0" applyFont="1" applyFill="1" applyBorder="1" applyAlignment="1">
      <alignment horizontal="center" vertical="center" wrapText="1" shrinkToFit="1"/>
    </xf>
    <xf numFmtId="58" fontId="3" fillId="0" borderId="5" xfId="0" applyNumberFormat="1" applyFont="1" applyBorder="1" applyAlignment="1">
      <alignment horizontal="center" vertical="center" shrinkToFit="1"/>
    </xf>
    <xf numFmtId="177" fontId="6" fillId="0" borderId="16" xfId="0" applyNumberFormat="1" applyFont="1" applyBorder="1" applyAlignment="1">
      <alignment horizontal="center" vertical="center"/>
    </xf>
    <xf numFmtId="177" fontId="6" fillId="0" borderId="47" xfId="0" applyNumberFormat="1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 wrapText="1" shrinkToFit="1"/>
    </xf>
    <xf numFmtId="183" fontId="1" fillId="0" borderId="6" xfId="0" applyNumberFormat="1" applyFont="1" applyBorder="1" applyAlignment="1">
      <alignment horizontal="center" vertical="center" wrapText="1" shrinkToFit="1"/>
    </xf>
    <xf numFmtId="0" fontId="1" fillId="7" borderId="6" xfId="0" applyFont="1" applyFill="1" applyBorder="1" applyAlignment="1">
      <alignment horizontal="center" vertical="center" wrapText="1" shrinkToFit="1"/>
    </xf>
    <xf numFmtId="0" fontId="1" fillId="0" borderId="50" xfId="0" applyFont="1" applyBorder="1" applyAlignment="1">
      <alignment horizontal="center" vertical="center" wrapText="1" shrinkToFit="1"/>
    </xf>
    <xf numFmtId="0" fontId="1" fillId="7" borderId="8" xfId="0" applyFont="1" applyFill="1" applyBorder="1" applyAlignment="1">
      <alignment horizontal="center" vertical="center" wrapText="1" shrinkToFit="1"/>
    </xf>
    <xf numFmtId="183" fontId="3" fillId="0" borderId="5" xfId="0" applyNumberFormat="1" applyFont="1" applyFill="1" applyBorder="1" applyAlignment="1">
      <alignment horizontal="center" vertical="center" shrinkToFit="1"/>
    </xf>
    <xf numFmtId="49" fontId="3" fillId="0" borderId="5" xfId="0" applyNumberFormat="1" applyFont="1" applyBorder="1" applyAlignment="1">
      <alignment horizontal="center" vertical="center" wrapText="1" shrinkToFit="1"/>
    </xf>
    <xf numFmtId="183" fontId="3" fillId="14" borderId="5" xfId="0" applyNumberFormat="1" applyFont="1" applyFill="1" applyBorder="1" applyAlignment="1">
      <alignment horizontal="center" vertical="center" shrinkToFit="1"/>
    </xf>
    <xf numFmtId="0" fontId="0" fillId="0" borderId="51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3" fillId="0" borderId="0" xfId="0" applyFont="1" applyFill="1" applyAlignment="1">
      <alignment vertical="center" shrinkToFit="1"/>
    </xf>
    <xf numFmtId="0" fontId="0" fillId="19" borderId="0" xfId="0" applyFill="1">
      <alignment vertical="center"/>
    </xf>
    <xf numFmtId="14" fontId="6" fillId="0" borderId="2" xfId="0" applyNumberFormat="1" applyFont="1" applyBorder="1">
      <alignment vertical="center"/>
    </xf>
    <xf numFmtId="0" fontId="1" fillId="3" borderId="52" xfId="0" applyFont="1" applyFill="1" applyBorder="1" applyAlignment="1">
      <alignment horizontal="center" vertical="center" wrapText="1" shrinkToFit="1"/>
    </xf>
    <xf numFmtId="0" fontId="1" fillId="3" borderId="5" xfId="0" applyFont="1" applyFill="1" applyBorder="1" applyAlignment="1">
      <alignment vertical="center" wrapText="1" shrinkToFit="1"/>
    </xf>
    <xf numFmtId="0" fontId="1" fillId="4" borderId="28" xfId="0" applyFont="1" applyFill="1" applyBorder="1" applyAlignment="1">
      <alignment horizontal="center" vertical="center" wrapText="1" shrinkToFit="1"/>
    </xf>
    <xf numFmtId="0" fontId="1" fillId="5" borderId="28" xfId="0" applyFont="1" applyFill="1" applyBorder="1" applyAlignment="1">
      <alignment horizontal="center" vertical="center" wrapText="1" shrinkToFit="1"/>
    </xf>
    <xf numFmtId="0" fontId="1" fillId="6" borderId="28" xfId="0" applyFont="1" applyFill="1" applyBorder="1" applyAlignment="1">
      <alignment horizontal="center" vertical="center" wrapText="1" shrinkToFit="1"/>
    </xf>
    <xf numFmtId="3" fontId="23" fillId="10" borderId="5" xfId="0" applyNumberFormat="1" applyFont="1" applyFill="1" applyBorder="1" applyAlignment="1">
      <alignment horizontal="center" vertical="center"/>
    </xf>
    <xf numFmtId="180" fontId="3" fillId="10" borderId="5" xfId="0" applyNumberFormat="1" applyFont="1" applyFill="1" applyBorder="1" applyAlignment="1">
      <alignment horizontal="center" vertical="center" wrapText="1" shrinkToFit="1"/>
    </xf>
    <xf numFmtId="0" fontId="2" fillId="10" borderId="8" xfId="0" applyFont="1" applyFill="1" applyBorder="1" applyAlignment="1">
      <alignment horizontal="center" vertical="center" shrinkToFit="1"/>
    </xf>
    <xf numFmtId="3" fontId="3" fillId="10" borderId="5" xfId="0" applyNumberFormat="1" applyFont="1" applyFill="1" applyBorder="1" applyAlignment="1">
      <alignment horizontal="center" vertical="center"/>
    </xf>
    <xf numFmtId="49" fontId="3" fillId="10" borderId="13" xfId="0" applyNumberFormat="1" applyFont="1" applyFill="1" applyBorder="1" applyAlignment="1">
      <alignment horizontal="center" vertical="center" wrapText="1" shrinkToFit="1"/>
    </xf>
    <xf numFmtId="0" fontId="9" fillId="27" borderId="8" xfId="0" applyFont="1" applyFill="1" applyBorder="1" applyAlignment="1">
      <alignment horizontal="center" vertical="center" wrapText="1" shrinkToFit="1"/>
    </xf>
    <xf numFmtId="0" fontId="9" fillId="10" borderId="8" xfId="0" applyFont="1" applyFill="1" applyBorder="1" applyAlignment="1">
      <alignment horizontal="center" vertical="center" wrapText="1" shrinkToFit="1"/>
    </xf>
    <xf numFmtId="180" fontId="3" fillId="50" borderId="5" xfId="0" applyNumberFormat="1" applyFont="1" applyFill="1" applyBorder="1" applyAlignment="1">
      <alignment horizontal="center" vertical="center" wrapText="1" shrinkToFit="1"/>
    </xf>
    <xf numFmtId="0" fontId="3" fillId="4" borderId="8" xfId="0" applyFont="1" applyFill="1" applyBorder="1" applyAlignment="1">
      <alignment horizontal="center" vertical="center" wrapText="1" shrinkToFit="1"/>
    </xf>
    <xf numFmtId="180" fontId="3" fillId="10" borderId="8" xfId="0" applyNumberFormat="1" applyFont="1" applyFill="1" applyBorder="1" applyAlignment="1">
      <alignment horizontal="center" vertical="center" wrapText="1" shrinkToFit="1"/>
    </xf>
    <xf numFmtId="0" fontId="3" fillId="8" borderId="0" xfId="0" applyFont="1" applyFill="1" applyAlignment="1">
      <alignment horizontal="center" vertical="center" wrapText="1" shrinkToFit="1"/>
    </xf>
    <xf numFmtId="0" fontId="3" fillId="8" borderId="5" xfId="0" applyFont="1" applyFill="1" applyBorder="1" applyAlignment="1">
      <alignment horizontal="center" vertical="center" wrapText="1" shrinkToFit="1"/>
    </xf>
    <xf numFmtId="3" fontId="9" fillId="10" borderId="5" xfId="0" applyNumberFormat="1" applyFont="1" applyFill="1" applyBorder="1" applyAlignment="1">
      <alignment horizontal="center" vertical="center"/>
    </xf>
    <xf numFmtId="1" fontId="9" fillId="10" borderId="8" xfId="0" applyNumberFormat="1" applyFont="1" applyFill="1" applyBorder="1" applyAlignment="1">
      <alignment horizontal="center" vertical="center" shrinkToFit="1"/>
    </xf>
    <xf numFmtId="180" fontId="3" fillId="9" borderId="5" xfId="0" applyNumberFormat="1" applyFont="1" applyFill="1" applyBorder="1" applyAlignment="1">
      <alignment horizontal="center" vertical="center" wrapText="1" shrinkToFit="1"/>
    </xf>
    <xf numFmtId="179" fontId="3" fillId="8" borderId="5" xfId="0" applyNumberFormat="1" applyFont="1" applyFill="1" applyBorder="1" applyAlignment="1">
      <alignment horizontal="center" vertical="center" shrinkToFit="1"/>
    </xf>
    <xf numFmtId="49" fontId="9" fillId="0" borderId="7" xfId="0" applyNumberFormat="1" applyFont="1" applyBorder="1" applyAlignment="1">
      <alignment horizontal="center" vertical="center" wrapText="1" shrinkToFit="1"/>
    </xf>
    <xf numFmtId="14" fontId="10" fillId="0" borderId="5" xfId="0" applyNumberFormat="1" applyFont="1" applyBorder="1" applyAlignment="1">
      <alignment horizontal="center" vertical="center" wrapText="1" shrinkToFit="1"/>
    </xf>
    <xf numFmtId="3" fontId="23" fillId="0" borderId="5" xfId="0" applyNumberFormat="1" applyFont="1" applyFill="1" applyBorder="1" applyAlignment="1">
      <alignment horizontal="center" vertical="center"/>
    </xf>
    <xf numFmtId="180" fontId="3" fillId="0" borderId="5" xfId="0" applyNumberFormat="1" applyFont="1" applyFill="1" applyBorder="1" applyAlignment="1">
      <alignment horizontal="center" vertical="center" wrapText="1" shrinkToFit="1"/>
    </xf>
    <xf numFmtId="180" fontId="3" fillId="0" borderId="8" xfId="0" applyNumberFormat="1" applyFont="1" applyFill="1" applyBorder="1" applyAlignment="1">
      <alignment horizontal="center" vertical="center" wrapText="1" shrinkToFit="1"/>
    </xf>
    <xf numFmtId="1" fontId="3" fillId="0" borderId="8" xfId="0" applyNumberFormat="1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wrapText="1" shrinkToFit="1"/>
    </xf>
    <xf numFmtId="14" fontId="3" fillId="0" borderId="5" xfId="0" applyNumberFormat="1" applyFont="1" applyFill="1" applyBorder="1" applyAlignment="1">
      <alignment horizontal="center" vertical="center" wrapText="1" shrinkToFit="1"/>
    </xf>
    <xf numFmtId="14" fontId="9" fillId="0" borderId="5" xfId="0" applyNumberFormat="1" applyFont="1" applyFill="1" applyBorder="1" applyAlignment="1">
      <alignment horizontal="center" vertical="center" wrapText="1" shrinkToFit="1"/>
    </xf>
    <xf numFmtId="49" fontId="3" fillId="0" borderId="7" xfId="0" applyNumberFormat="1" applyFont="1" applyFill="1" applyBorder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 shrinkToFit="1"/>
    </xf>
    <xf numFmtId="0" fontId="33" fillId="19" borderId="0" xfId="0" applyFont="1" applyFill="1" applyAlignment="1">
      <alignment horizontal="center" vertical="center" wrapText="1"/>
    </xf>
    <xf numFmtId="14" fontId="0" fillId="19" borderId="0" xfId="0" applyNumberFormat="1" applyFill="1">
      <alignment vertical="center"/>
    </xf>
    <xf numFmtId="14" fontId="0" fillId="19" borderId="0" xfId="0" applyNumberFormat="1" applyFill="1" applyAlignment="1">
      <alignment horizontal="center" vertical="center"/>
    </xf>
    <xf numFmtId="49" fontId="0" fillId="19" borderId="0" xfId="0" applyNumberFormat="1" applyFill="1">
      <alignment vertical="center"/>
    </xf>
    <xf numFmtId="0" fontId="2" fillId="19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4" fillId="0" borderId="0" xfId="0" applyFont="1">
      <alignment vertical="center"/>
    </xf>
    <xf numFmtId="179" fontId="9" fillId="10" borderId="5" xfId="0" applyNumberFormat="1" applyFont="1" applyFill="1" applyBorder="1" applyAlignment="1">
      <alignment horizontal="center" vertical="center" wrapText="1" shrinkToFit="1"/>
    </xf>
    <xf numFmtId="0" fontId="9" fillId="26" borderId="5" xfId="0" applyFont="1" applyFill="1" applyBorder="1" applyAlignment="1">
      <alignment horizontal="center" vertical="center" wrapText="1" shrinkToFit="1"/>
    </xf>
    <xf numFmtId="178" fontId="3" fillId="10" borderId="5" xfId="0" applyNumberFormat="1" applyFont="1" applyFill="1" applyBorder="1" applyAlignment="1">
      <alignment horizontal="center" vertical="center"/>
    </xf>
    <xf numFmtId="0" fontId="3" fillId="10" borderId="53" xfId="0" applyFont="1" applyFill="1" applyBorder="1" applyAlignment="1">
      <alignment horizontal="center" vertical="center" shrinkToFit="1"/>
    </xf>
    <xf numFmtId="14" fontId="35" fillId="0" borderId="5" xfId="0" applyNumberFormat="1" applyFont="1" applyBorder="1" applyAlignment="1">
      <alignment horizontal="center" vertical="center" wrapText="1" shrinkToFit="1"/>
    </xf>
    <xf numFmtId="0" fontId="1" fillId="11" borderId="13" xfId="0" applyFont="1" applyFill="1" applyBorder="1" applyAlignment="1">
      <alignment horizontal="center" vertical="center" wrapText="1" shrinkToFit="1"/>
    </xf>
    <xf numFmtId="0" fontId="1" fillId="11" borderId="14" xfId="0" applyFont="1" applyFill="1" applyBorder="1" applyAlignment="1">
      <alignment horizontal="center" vertical="center" wrapText="1" shrinkToFit="1"/>
    </xf>
    <xf numFmtId="0" fontId="1" fillId="11" borderId="15" xfId="0" applyFont="1" applyFill="1" applyBorder="1" applyAlignment="1">
      <alignment horizontal="center" vertical="center" wrapText="1" shrinkToFit="1"/>
    </xf>
    <xf numFmtId="0" fontId="3" fillId="51" borderId="5" xfId="0" applyFont="1" applyFill="1" applyBorder="1" applyAlignment="1">
      <alignment horizontal="center" vertical="center" wrapText="1" shrinkToFit="1"/>
    </xf>
    <xf numFmtId="0" fontId="3" fillId="52" borderId="5" xfId="0" applyFont="1" applyFill="1" applyBorder="1" applyAlignment="1">
      <alignment horizontal="center" vertical="center" wrapText="1" shrinkToFit="1"/>
    </xf>
    <xf numFmtId="58" fontId="9" fillId="0" borderId="5" xfId="0" applyNumberFormat="1" applyFont="1" applyBorder="1" applyAlignment="1">
      <alignment horizontal="center" vertical="center" wrapText="1" shrinkToFit="1"/>
    </xf>
    <xf numFmtId="0" fontId="36" fillId="0" borderId="0" xfId="0" applyFont="1">
      <alignment vertical="center"/>
    </xf>
    <xf numFmtId="181" fontId="4" fillId="0" borderId="0" xfId="0" applyNumberFormat="1" applyFont="1" applyAlignment="1">
      <alignment horizontal="center" vertical="center" shrinkToFit="1"/>
    </xf>
    <xf numFmtId="185" fontId="0" fillId="0" borderId="0" xfId="0" applyNumberFormat="1">
      <alignment vertical="center"/>
    </xf>
    <xf numFmtId="0" fontId="5" fillId="0" borderId="17" xfId="0" applyFont="1" applyBorder="1">
      <alignment vertical="center"/>
    </xf>
    <xf numFmtId="0" fontId="5" fillId="0" borderId="18" xfId="0" applyFont="1" applyBorder="1">
      <alignment vertical="center"/>
    </xf>
    <xf numFmtId="185" fontId="1" fillId="0" borderId="5" xfId="0" applyNumberFormat="1" applyFont="1" applyBorder="1" applyAlignment="1">
      <alignment horizontal="center" vertical="center" wrapText="1" shrinkToFit="1"/>
    </xf>
    <xf numFmtId="0" fontId="1" fillId="53" borderId="24" xfId="0" applyFont="1" applyFill="1" applyBorder="1" applyAlignment="1">
      <alignment horizontal="center" vertical="center" wrapText="1" shrinkToFit="1"/>
    </xf>
    <xf numFmtId="0" fontId="1" fillId="53" borderId="52" xfId="0" applyFont="1" applyFill="1" applyBorder="1" applyAlignment="1">
      <alignment horizontal="center" vertical="center" wrapText="1" shrinkToFit="1"/>
    </xf>
    <xf numFmtId="0" fontId="3" fillId="54" borderId="5" xfId="0" applyFont="1" applyFill="1" applyBorder="1" applyAlignment="1">
      <alignment horizontal="center" vertical="center" wrapText="1" shrinkToFit="1"/>
    </xf>
    <xf numFmtId="1" fontId="3" fillId="49" borderId="5" xfId="0" applyNumberFormat="1" applyFont="1" applyFill="1" applyBorder="1" applyAlignment="1">
      <alignment horizontal="center" vertical="center" wrapText="1" shrinkToFit="1"/>
    </xf>
    <xf numFmtId="1" fontId="3" fillId="55" borderId="5" xfId="0" applyNumberFormat="1" applyFont="1" applyFill="1" applyBorder="1" applyAlignment="1">
      <alignment horizontal="center" vertical="center" wrapText="1" shrinkToFit="1"/>
    </xf>
    <xf numFmtId="185" fontId="3" fillId="10" borderId="5" xfId="0" applyNumberFormat="1" applyFont="1" applyFill="1" applyBorder="1" applyAlignment="1">
      <alignment horizontal="center" vertical="center" shrinkToFit="1"/>
    </xf>
    <xf numFmtId="1" fontId="3" fillId="10" borderId="28" xfId="0" applyNumberFormat="1" applyFont="1" applyFill="1" applyBorder="1" applyAlignment="1">
      <alignment horizontal="center" vertical="center" shrinkToFit="1"/>
    </xf>
    <xf numFmtId="185" fontId="3" fillId="0" borderId="5" xfId="0" applyNumberFormat="1" applyFont="1" applyBorder="1" applyAlignment="1">
      <alignment horizontal="center" vertical="center" shrinkToFit="1"/>
    </xf>
    <xf numFmtId="1" fontId="3" fillId="55" borderId="5" xfId="0" applyNumberFormat="1" applyFont="1" applyFill="1" applyBorder="1" applyAlignment="1">
      <alignment horizontal="center" vertical="center" shrinkToFit="1"/>
    </xf>
    <xf numFmtId="178" fontId="3" fillId="12" borderId="5" xfId="0" applyNumberFormat="1" applyFont="1" applyFill="1" applyBorder="1" applyAlignment="1">
      <alignment horizontal="center" vertical="center"/>
    </xf>
    <xf numFmtId="179" fontId="3" fillId="8" borderId="5" xfId="0" applyNumberFormat="1" applyFont="1" applyFill="1" applyBorder="1" applyAlignment="1">
      <alignment horizontal="center" vertical="center" wrapText="1" shrinkToFit="1"/>
    </xf>
    <xf numFmtId="1" fontId="3" fillId="55" borderId="8" xfId="0" applyNumberFormat="1" applyFont="1" applyFill="1" applyBorder="1" applyAlignment="1">
      <alignment horizontal="center" vertical="center" shrinkToFit="1"/>
    </xf>
    <xf numFmtId="181" fontId="4" fillId="0" borderId="4" xfId="0" applyNumberFormat="1" applyFont="1" applyBorder="1" applyAlignment="1">
      <alignment horizontal="center" vertical="center" shrinkToFit="1"/>
    </xf>
    <xf numFmtId="181" fontId="4" fillId="0" borderId="5" xfId="0" applyNumberFormat="1" applyFont="1" applyBorder="1" applyAlignment="1">
      <alignment horizontal="center" vertical="center" wrapText="1" shrinkToFit="1"/>
    </xf>
    <xf numFmtId="181" fontId="4" fillId="0" borderId="7" xfId="0" applyNumberFormat="1" applyFont="1" applyBorder="1" applyAlignment="1">
      <alignment horizontal="center" vertical="center" shrinkToFit="1"/>
    </xf>
    <xf numFmtId="181" fontId="2" fillId="0" borderId="0" xfId="0" applyNumberFormat="1" applyFont="1" applyAlignment="1">
      <alignment horizontal="center" vertical="center"/>
    </xf>
    <xf numFmtId="186" fontId="14" fillId="0" borderId="10" xfId="0" applyNumberFormat="1" applyFont="1" applyBorder="1" applyAlignment="1">
      <alignment vertical="center" shrinkToFit="1"/>
    </xf>
    <xf numFmtId="0" fontId="4" fillId="0" borderId="10" xfId="0" applyFont="1" applyBorder="1" applyAlignment="1">
      <alignment horizontal="center" vertical="center" wrapText="1" shrinkToFit="1"/>
    </xf>
    <xf numFmtId="14" fontId="6" fillId="0" borderId="5" xfId="0" applyNumberFormat="1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center" vertical="center" wrapText="1" shrinkToFit="1"/>
    </xf>
    <xf numFmtId="0" fontId="3" fillId="10" borderId="27" xfId="0" applyFont="1" applyFill="1" applyBorder="1" applyAlignment="1">
      <alignment horizontal="center" vertical="center" shrinkToFit="1"/>
    </xf>
    <xf numFmtId="179" fontId="3" fillId="10" borderId="8" xfId="0" applyNumberFormat="1" applyFont="1" applyFill="1" applyBorder="1" applyAlignment="1">
      <alignment horizontal="center" vertical="center" wrapText="1" shrinkToFit="1"/>
    </xf>
    <xf numFmtId="176" fontId="3" fillId="10" borderId="8" xfId="0" applyNumberFormat="1" applyFont="1" applyFill="1" applyBorder="1" applyAlignment="1">
      <alignment horizontal="center" vertical="center"/>
    </xf>
    <xf numFmtId="176" fontId="3" fillId="10" borderId="8" xfId="0" applyNumberFormat="1" applyFont="1" applyFill="1" applyBorder="1" applyAlignment="1">
      <alignment horizontal="center" vertical="center" shrinkToFit="1"/>
    </xf>
    <xf numFmtId="3" fontId="23" fillId="10" borderId="8" xfId="0" applyNumberFormat="1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 wrapText="1" shrinkToFit="1"/>
    </xf>
    <xf numFmtId="0" fontId="10" fillId="10" borderId="8" xfId="0" applyFont="1" applyFill="1" applyBorder="1" applyAlignment="1">
      <alignment horizontal="center" vertical="center" shrinkToFit="1"/>
    </xf>
    <xf numFmtId="58" fontId="3" fillId="10" borderId="8" xfId="0" applyNumberFormat="1" applyFont="1" applyFill="1" applyBorder="1" applyAlignment="1">
      <alignment horizontal="center" vertical="center" wrapText="1" shrinkToFit="1"/>
    </xf>
    <xf numFmtId="14" fontId="3" fillId="10" borderId="8" xfId="0" applyNumberFormat="1" applyFont="1" applyFill="1" applyBorder="1" applyAlignment="1">
      <alignment horizontal="center" vertical="center" shrinkToFit="1"/>
    </xf>
    <xf numFmtId="14" fontId="3" fillId="10" borderId="8" xfId="0" applyNumberFormat="1" applyFont="1" applyFill="1" applyBorder="1" applyAlignment="1">
      <alignment horizontal="center" vertical="center" wrapText="1" shrinkToFit="1"/>
    </xf>
    <xf numFmtId="49" fontId="3" fillId="10" borderId="30" xfId="0" applyNumberFormat="1" applyFont="1" applyFill="1" applyBorder="1" applyAlignment="1">
      <alignment horizontal="center" vertical="center" wrapText="1" shrinkToFit="1"/>
    </xf>
    <xf numFmtId="0" fontId="8" fillId="27" borderId="8" xfId="0" applyFont="1" applyFill="1" applyBorder="1" applyAlignment="1">
      <alignment horizontal="center" vertical="center" wrapText="1" shrinkToFit="1"/>
    </xf>
    <xf numFmtId="0" fontId="3" fillId="10" borderId="49" xfId="0" applyFont="1" applyFill="1" applyBorder="1" applyAlignment="1">
      <alignment horizontal="center" vertical="center" shrinkToFit="1"/>
    </xf>
    <xf numFmtId="0" fontId="3" fillId="10" borderId="6" xfId="0" applyFont="1" applyFill="1" applyBorder="1" applyAlignment="1">
      <alignment horizontal="center" vertical="center" wrapText="1" shrinkToFit="1"/>
    </xf>
    <xf numFmtId="0" fontId="3" fillId="10" borderId="6" xfId="0" applyFont="1" applyFill="1" applyBorder="1" applyAlignment="1">
      <alignment horizontal="center" vertical="center" shrinkToFit="1"/>
    </xf>
    <xf numFmtId="179" fontId="3" fillId="10" borderId="6" xfId="0" applyNumberFormat="1" applyFont="1" applyFill="1" applyBorder="1" applyAlignment="1">
      <alignment horizontal="center" vertical="center" wrapText="1" shrinkToFit="1"/>
    </xf>
    <xf numFmtId="176" fontId="3" fillId="10" borderId="6" xfId="0" applyNumberFormat="1" applyFont="1" applyFill="1" applyBorder="1" applyAlignment="1">
      <alignment horizontal="center" vertical="center"/>
    </xf>
    <xf numFmtId="176" fontId="3" fillId="10" borderId="6" xfId="0" applyNumberFormat="1" applyFont="1" applyFill="1" applyBorder="1" applyAlignment="1">
      <alignment horizontal="center" vertical="center" shrinkToFit="1"/>
    </xf>
    <xf numFmtId="3" fontId="3" fillId="10" borderId="6" xfId="0" applyNumberFormat="1" applyFont="1" applyFill="1" applyBorder="1" applyAlignment="1">
      <alignment horizontal="center" vertical="center"/>
    </xf>
    <xf numFmtId="1" fontId="3" fillId="10" borderId="6" xfId="0" applyNumberFormat="1" applyFont="1" applyFill="1" applyBorder="1" applyAlignment="1">
      <alignment horizontal="center" vertical="center" shrinkToFit="1"/>
    </xf>
    <xf numFmtId="14" fontId="3" fillId="10" borderId="6" xfId="0" applyNumberFormat="1" applyFont="1" applyFill="1" applyBorder="1" applyAlignment="1">
      <alignment horizontal="center" vertical="center" shrinkToFit="1"/>
    </xf>
    <xf numFmtId="14" fontId="3" fillId="10" borderId="6" xfId="0" applyNumberFormat="1" applyFont="1" applyFill="1" applyBorder="1" applyAlignment="1">
      <alignment horizontal="center" vertical="center" wrapText="1" shrinkToFit="1"/>
    </xf>
    <xf numFmtId="49" fontId="3" fillId="10" borderId="50" xfId="0" applyNumberFormat="1" applyFont="1" applyFill="1" applyBorder="1" applyAlignment="1">
      <alignment horizontal="center" vertical="center" wrapText="1" shrinkToFit="1"/>
    </xf>
    <xf numFmtId="0" fontId="3" fillId="10" borderId="1" xfId="0" applyFont="1" applyFill="1" applyBorder="1" applyAlignment="1">
      <alignment horizontal="center" vertical="center" shrinkToFit="1"/>
    </xf>
    <xf numFmtId="0" fontId="3" fillId="10" borderId="2" xfId="0" applyFont="1" applyFill="1" applyBorder="1" applyAlignment="1">
      <alignment horizontal="center" vertical="center" wrapText="1" shrinkToFit="1"/>
    </xf>
    <xf numFmtId="0" fontId="3" fillId="10" borderId="2" xfId="0" applyFont="1" applyFill="1" applyBorder="1" applyAlignment="1">
      <alignment horizontal="center" vertical="center" shrinkToFit="1"/>
    </xf>
    <xf numFmtId="179" fontId="3" fillId="10" borderId="2" xfId="0" applyNumberFormat="1" applyFont="1" applyFill="1" applyBorder="1" applyAlignment="1">
      <alignment horizontal="center" vertical="center" wrapText="1" shrinkToFit="1"/>
    </xf>
    <xf numFmtId="176" fontId="3" fillId="10" borderId="2" xfId="0" applyNumberFormat="1" applyFont="1" applyFill="1" applyBorder="1" applyAlignment="1">
      <alignment horizontal="center" vertical="center"/>
    </xf>
    <xf numFmtId="176" fontId="3" fillId="10" borderId="2" xfId="0" applyNumberFormat="1" applyFont="1" applyFill="1" applyBorder="1" applyAlignment="1">
      <alignment horizontal="center" vertical="center" shrinkToFit="1"/>
    </xf>
    <xf numFmtId="3" fontId="23" fillId="10" borderId="2" xfId="0" applyNumberFormat="1" applyFont="1" applyFill="1" applyBorder="1" applyAlignment="1">
      <alignment horizontal="center" vertical="center"/>
    </xf>
    <xf numFmtId="1" fontId="3" fillId="10" borderId="2" xfId="0" applyNumberFormat="1" applyFont="1" applyFill="1" applyBorder="1" applyAlignment="1">
      <alignment horizontal="center" vertical="center" shrinkToFit="1"/>
    </xf>
    <xf numFmtId="1" fontId="3" fillId="10" borderId="3" xfId="0" applyNumberFormat="1" applyFont="1" applyFill="1" applyBorder="1" applyAlignment="1">
      <alignment horizontal="center" vertical="center" shrinkToFit="1"/>
    </xf>
    <xf numFmtId="0" fontId="3" fillId="10" borderId="31" xfId="0" applyFont="1" applyFill="1" applyBorder="1" applyAlignment="1">
      <alignment horizontal="center" vertical="center" wrapText="1" shrinkToFit="1"/>
    </xf>
    <xf numFmtId="0" fontId="3" fillId="10" borderId="13" xfId="0" applyFont="1" applyFill="1" applyBorder="1" applyAlignment="1">
      <alignment horizontal="center" vertical="center" wrapText="1" shrinkToFit="1"/>
    </xf>
    <xf numFmtId="14" fontId="3" fillId="10" borderId="1" xfId="0" applyNumberFormat="1" applyFont="1" applyFill="1" applyBorder="1" applyAlignment="1">
      <alignment horizontal="center" vertical="center" shrinkToFit="1"/>
    </xf>
    <xf numFmtId="14" fontId="9" fillId="10" borderId="2" xfId="0" applyNumberFormat="1" applyFont="1" applyFill="1" applyBorder="1" applyAlignment="1">
      <alignment horizontal="center" vertical="center" wrapText="1" shrinkToFit="1"/>
    </xf>
    <xf numFmtId="14" fontId="3" fillId="10" borderId="2" xfId="0" applyNumberFormat="1" applyFont="1" applyFill="1" applyBorder="1" applyAlignment="1">
      <alignment horizontal="center" vertical="center" wrapText="1" shrinkToFit="1"/>
    </xf>
    <xf numFmtId="49" fontId="3" fillId="10" borderId="3" xfId="0" applyNumberFormat="1" applyFont="1" applyFill="1" applyBorder="1" applyAlignment="1">
      <alignment horizontal="center" vertical="center" wrapText="1" shrinkToFit="1"/>
    </xf>
    <xf numFmtId="1" fontId="3" fillId="10" borderId="7" xfId="0" applyNumberFormat="1" applyFont="1" applyFill="1" applyBorder="1" applyAlignment="1">
      <alignment horizontal="center" vertical="center" shrinkToFit="1"/>
    </xf>
    <xf numFmtId="14" fontId="3" fillId="10" borderId="4" xfId="0" applyNumberFormat="1" applyFont="1" applyFill="1" applyBorder="1" applyAlignment="1">
      <alignment horizontal="center" vertical="center" shrinkToFit="1"/>
    </xf>
    <xf numFmtId="0" fontId="9" fillId="10" borderId="5" xfId="0" applyFont="1" applyFill="1" applyBorder="1" applyAlignment="1">
      <alignment horizontal="center" vertical="center" shrinkToFit="1"/>
    </xf>
    <xf numFmtId="3" fontId="23" fillId="44" borderId="5" xfId="0" applyNumberFormat="1" applyFont="1" applyFill="1" applyBorder="1" applyAlignment="1">
      <alignment horizontal="center" vertical="center"/>
    </xf>
    <xf numFmtId="1" fontId="3" fillId="44" borderId="7" xfId="0" applyNumberFormat="1" applyFont="1" applyFill="1" applyBorder="1" applyAlignment="1">
      <alignment horizontal="center" vertical="center" shrinkToFit="1"/>
    </xf>
    <xf numFmtId="0" fontId="3" fillId="56" borderId="31" xfId="0" applyFont="1" applyFill="1" applyBorder="1" applyAlignment="1">
      <alignment horizontal="center" vertical="center" wrapText="1" shrinkToFit="1"/>
    </xf>
    <xf numFmtId="0" fontId="9" fillId="44" borderId="5" xfId="0" applyFont="1" applyFill="1" applyBorder="1" applyAlignment="1">
      <alignment horizontal="center" vertical="center" shrinkToFit="1"/>
    </xf>
    <xf numFmtId="0" fontId="3" fillId="44" borderId="13" xfId="0" applyFont="1" applyFill="1" applyBorder="1" applyAlignment="1">
      <alignment horizontal="center" vertical="center" wrapText="1" shrinkToFit="1"/>
    </xf>
    <xf numFmtId="14" fontId="3" fillId="44" borderId="4" xfId="0" applyNumberFormat="1" applyFont="1" applyFill="1" applyBorder="1" applyAlignment="1">
      <alignment horizontal="center" vertical="center" shrinkToFit="1"/>
    </xf>
    <xf numFmtId="0" fontId="3" fillId="44" borderId="31" xfId="0" applyFont="1" applyFill="1" applyBorder="1" applyAlignment="1">
      <alignment horizontal="center" vertical="center" wrapText="1" shrinkToFit="1"/>
    </xf>
    <xf numFmtId="0" fontId="9" fillId="44" borderId="13" xfId="0" applyFont="1" applyFill="1" applyBorder="1" applyAlignment="1">
      <alignment horizontal="center" vertical="center" wrapText="1" shrinkToFit="1"/>
    </xf>
    <xf numFmtId="0" fontId="3" fillId="57" borderId="5" xfId="0" applyFont="1" applyFill="1" applyBorder="1" applyAlignment="1">
      <alignment horizontal="center" vertical="center" wrapText="1" shrinkToFit="1"/>
    </xf>
    <xf numFmtId="0" fontId="3" fillId="57" borderId="5" xfId="0" applyFont="1" applyFill="1" applyBorder="1" applyAlignment="1">
      <alignment horizontal="center" vertical="center" shrinkToFit="1"/>
    </xf>
    <xf numFmtId="179" fontId="3" fillId="57" borderId="5" xfId="0" applyNumberFormat="1" applyFont="1" applyFill="1" applyBorder="1" applyAlignment="1">
      <alignment horizontal="center" vertical="center" wrapText="1" shrinkToFit="1"/>
    </xf>
    <xf numFmtId="176" fontId="3" fillId="57" borderId="5" xfId="0" applyNumberFormat="1" applyFont="1" applyFill="1" applyBorder="1" applyAlignment="1">
      <alignment horizontal="center" vertical="center"/>
    </xf>
    <xf numFmtId="176" fontId="3" fillId="57" borderId="5" xfId="0" applyNumberFormat="1" applyFont="1" applyFill="1" applyBorder="1" applyAlignment="1">
      <alignment horizontal="center" vertical="center" shrinkToFit="1"/>
    </xf>
    <xf numFmtId="3" fontId="23" fillId="57" borderId="5" xfId="0" applyNumberFormat="1" applyFont="1" applyFill="1" applyBorder="1" applyAlignment="1">
      <alignment horizontal="center" vertical="center"/>
    </xf>
    <xf numFmtId="1" fontId="3" fillId="57" borderId="5" xfId="0" applyNumberFormat="1" applyFont="1" applyFill="1" applyBorder="1" applyAlignment="1">
      <alignment horizontal="center" vertical="center" shrinkToFit="1"/>
    </xf>
    <xf numFmtId="1" fontId="3" fillId="57" borderId="7" xfId="0" applyNumberFormat="1" applyFont="1" applyFill="1" applyBorder="1" applyAlignment="1">
      <alignment horizontal="center" vertical="center" shrinkToFit="1"/>
    </xf>
    <xf numFmtId="0" fontId="3" fillId="57" borderId="31" xfId="0" applyFont="1" applyFill="1" applyBorder="1" applyAlignment="1">
      <alignment horizontal="center" vertical="center" wrapText="1" shrinkToFit="1"/>
    </xf>
    <xf numFmtId="0" fontId="10" fillId="57" borderId="5" xfId="0" applyFont="1" applyFill="1" applyBorder="1" applyAlignment="1">
      <alignment horizontal="center" vertical="center" shrinkToFit="1"/>
    </xf>
    <xf numFmtId="0" fontId="3" fillId="57" borderId="8" xfId="0" applyFont="1" applyFill="1" applyBorder="1" applyAlignment="1">
      <alignment horizontal="center" vertical="center" wrapText="1" shrinkToFit="1"/>
    </xf>
    <xf numFmtId="0" fontId="3" fillId="57" borderId="13" xfId="0" applyFont="1" applyFill="1" applyBorder="1" applyAlignment="1">
      <alignment horizontal="center" vertical="center" wrapText="1" shrinkToFit="1"/>
    </xf>
    <xf numFmtId="14" fontId="3" fillId="57" borderId="4" xfId="0" applyNumberFormat="1" applyFont="1" applyFill="1" applyBorder="1" applyAlignment="1">
      <alignment horizontal="center" vertical="center" shrinkToFit="1"/>
    </xf>
    <xf numFmtId="14" fontId="3" fillId="57" borderId="5" xfId="0" applyNumberFormat="1" applyFont="1" applyFill="1" applyBorder="1" applyAlignment="1">
      <alignment horizontal="center" vertical="center" wrapText="1" shrinkToFit="1"/>
    </xf>
    <xf numFmtId="49" fontId="3" fillId="57" borderId="7" xfId="0" applyNumberFormat="1" applyFont="1" applyFill="1" applyBorder="1" applyAlignment="1">
      <alignment horizontal="center" vertical="center" wrapText="1" shrinkToFit="1"/>
    </xf>
    <xf numFmtId="0" fontId="2" fillId="10" borderId="5" xfId="0" applyFont="1" applyFill="1" applyBorder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wrapText="1" shrinkToFit="1"/>
    </xf>
    <xf numFmtId="179" fontId="10" fillId="10" borderId="5" xfId="0" applyNumberFormat="1" applyFont="1" applyFill="1" applyBorder="1" applyAlignment="1">
      <alignment horizontal="center" vertical="center" shrinkToFit="1"/>
    </xf>
    <xf numFmtId="179" fontId="10" fillId="0" borderId="5" xfId="0" applyNumberFormat="1" applyFont="1" applyBorder="1" applyAlignment="1">
      <alignment horizontal="center" vertical="center" shrinkToFit="1"/>
    </xf>
    <xf numFmtId="0" fontId="3" fillId="4" borderId="5" xfId="0" applyFont="1" applyFill="1" applyBorder="1" applyAlignment="1">
      <alignment horizontal="center" vertical="center" wrapText="1" shrinkToFit="1"/>
    </xf>
    <xf numFmtId="0" fontId="2" fillId="0" borderId="5" xfId="0" applyFont="1" applyBorder="1" applyAlignment="1">
      <alignment horizontal="center" vertical="center" shrinkToFit="1"/>
    </xf>
    <xf numFmtId="49" fontId="3" fillId="0" borderId="5" xfId="0" applyNumberFormat="1" applyFont="1" applyFill="1" applyBorder="1" applyAlignment="1">
      <alignment horizontal="center" vertical="center" wrapText="1" shrinkToFit="1"/>
    </xf>
    <xf numFmtId="0" fontId="9" fillId="10" borderId="5" xfId="0" applyFont="1" applyFill="1" applyBorder="1" applyAlignment="1">
      <alignment horizontal="center" vertical="center" wrapText="1" shrinkToFit="1"/>
    </xf>
    <xf numFmtId="0" fontId="3" fillId="4" borderId="5" xfId="0" applyFont="1" applyFill="1" applyBorder="1" applyAlignment="1">
      <alignment horizontal="center" vertical="center" shrinkToFit="1"/>
    </xf>
    <xf numFmtId="14" fontId="37" fillId="0" borderId="5" xfId="0" applyNumberFormat="1" applyFont="1" applyBorder="1" applyAlignment="1">
      <alignment horizontal="center" vertical="center" wrapText="1" shrinkToFit="1"/>
    </xf>
    <xf numFmtId="49" fontId="3" fillId="0" borderId="5" xfId="0" applyNumberFormat="1" applyFont="1" applyBorder="1" applyAlignment="1">
      <alignment horizontal="center" vertical="center" shrinkToFit="1"/>
    </xf>
    <xf numFmtId="49" fontId="4" fillId="0" borderId="5" xfId="0" applyNumberFormat="1" applyFont="1" applyBorder="1" applyAlignment="1">
      <alignment horizontal="center" vertical="center" shrinkToFit="1"/>
    </xf>
    <xf numFmtId="180" fontId="11" fillId="0" borderId="5" xfId="0" applyNumberFormat="1" applyFont="1" applyBorder="1" applyAlignment="1">
      <alignment vertical="center" shrinkToFit="1"/>
    </xf>
    <xf numFmtId="0" fontId="11" fillId="0" borderId="5" xfId="0" applyFont="1" applyBorder="1" applyAlignment="1">
      <alignment vertical="center" shrinkToFit="1"/>
    </xf>
    <xf numFmtId="49" fontId="38" fillId="10" borderId="5" xfId="0" applyNumberFormat="1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shrinkToFit="1"/>
    </xf>
    <xf numFmtId="0" fontId="11" fillId="0" borderId="10" xfId="0" applyFont="1" applyBorder="1" applyAlignment="1">
      <alignment vertical="center" shrinkToFit="1"/>
    </xf>
    <xf numFmtId="38" fontId="3" fillId="14" borderId="5" xfId="0" applyNumberFormat="1" applyFont="1" applyFill="1" applyBorder="1" applyAlignment="1">
      <alignment horizontal="center" vertical="center" wrapText="1" shrinkToFit="1"/>
    </xf>
    <xf numFmtId="186" fontId="0" fillId="0" borderId="0" xfId="0" applyNumberForma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86" fontId="1" fillId="0" borderId="5" xfId="0" applyNumberFormat="1" applyFont="1" applyBorder="1" applyAlignment="1">
      <alignment horizontal="center" vertical="center" wrapText="1" shrinkToFit="1"/>
    </xf>
    <xf numFmtId="0" fontId="8" fillId="25" borderId="5" xfId="0" applyFont="1" applyFill="1" applyBorder="1" applyAlignment="1">
      <alignment horizontal="center" vertical="center" wrapText="1" shrinkToFit="1"/>
    </xf>
    <xf numFmtId="179" fontId="3" fillId="58" borderId="5" xfId="0" applyNumberFormat="1" applyFont="1" applyFill="1" applyBorder="1" applyAlignment="1">
      <alignment horizontal="center" vertical="center" wrapText="1" shrinkToFit="1"/>
    </xf>
    <xf numFmtId="186" fontId="3" fillId="10" borderId="5" xfId="0" applyNumberFormat="1" applyFont="1" applyFill="1" applyBorder="1" applyAlignment="1">
      <alignment horizontal="center" vertical="center" shrinkToFit="1"/>
    </xf>
    <xf numFmtId="186" fontId="3" fillId="0" borderId="5" xfId="0" applyNumberFormat="1" applyFont="1" applyBorder="1" applyAlignment="1">
      <alignment horizontal="center" vertical="center" shrinkToFit="1"/>
    </xf>
    <xf numFmtId="186" fontId="4" fillId="0" borderId="5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shrinkToFit="1"/>
    </xf>
    <xf numFmtId="0" fontId="1" fillId="3" borderId="13" xfId="0" applyFont="1" applyFill="1" applyBorder="1" applyAlignment="1">
      <alignment horizontal="center" vertical="center" shrinkToFit="1"/>
    </xf>
    <xf numFmtId="0" fontId="1" fillId="3" borderId="14" xfId="0" applyFont="1" applyFill="1" applyBorder="1" applyAlignment="1">
      <alignment horizontal="center" vertical="center" shrinkToFit="1"/>
    </xf>
    <xf numFmtId="0" fontId="1" fillId="3" borderId="15" xfId="0" applyFont="1" applyFill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4" borderId="5" xfId="0" applyFont="1" applyFill="1" applyBorder="1" applyAlignment="1">
      <alignment vertical="center" wrapText="1" shrinkToFit="1"/>
    </xf>
    <xf numFmtId="0" fontId="3" fillId="18" borderId="4" xfId="0" applyFont="1" applyFill="1" applyBorder="1" applyAlignment="1">
      <alignment horizontal="center" vertical="center" shrinkToFit="1"/>
    </xf>
    <xf numFmtId="0" fontId="3" fillId="18" borderId="5" xfId="0" applyFont="1" applyFill="1" applyBorder="1" applyAlignment="1">
      <alignment horizontal="center" vertical="center" wrapText="1" shrinkToFit="1"/>
    </xf>
    <xf numFmtId="0" fontId="3" fillId="18" borderId="5" xfId="0" applyFont="1" applyFill="1" applyBorder="1" applyAlignment="1">
      <alignment horizontal="center" vertical="center" shrinkToFit="1"/>
    </xf>
    <xf numFmtId="179" fontId="3" fillId="18" borderId="5" xfId="0" applyNumberFormat="1" applyFont="1" applyFill="1" applyBorder="1" applyAlignment="1">
      <alignment horizontal="center" vertical="center" wrapText="1" shrinkToFit="1"/>
    </xf>
    <xf numFmtId="176" fontId="3" fillId="18" borderId="5" xfId="0" applyNumberFormat="1" applyFont="1" applyFill="1" applyBorder="1" applyAlignment="1">
      <alignment horizontal="center" vertical="center"/>
    </xf>
    <xf numFmtId="176" fontId="3" fillId="18" borderId="5" xfId="0" applyNumberFormat="1" applyFont="1" applyFill="1" applyBorder="1" applyAlignment="1">
      <alignment horizontal="center" vertical="center" shrinkToFit="1"/>
    </xf>
    <xf numFmtId="1" fontId="3" fillId="18" borderId="5" xfId="0" applyNumberFormat="1" applyFont="1" applyFill="1" applyBorder="1" applyAlignment="1">
      <alignment horizontal="center" vertical="center" shrinkToFit="1"/>
    </xf>
    <xf numFmtId="0" fontId="3" fillId="59" borderId="5" xfId="0" applyFont="1" applyFill="1" applyBorder="1" applyAlignment="1">
      <alignment horizontal="center" vertical="center" shrinkToFit="1"/>
    </xf>
    <xf numFmtId="14" fontId="3" fillId="18" borderId="5" xfId="0" applyNumberFormat="1" applyFont="1" applyFill="1" applyBorder="1" applyAlignment="1">
      <alignment horizontal="center" vertical="center" wrapText="1" shrinkToFit="1"/>
    </xf>
    <xf numFmtId="178" fontId="3" fillId="18" borderId="5" xfId="0" applyNumberFormat="1" applyFont="1" applyFill="1" applyBorder="1" applyAlignment="1">
      <alignment horizontal="center" vertical="center" shrinkToFit="1"/>
    </xf>
    <xf numFmtId="14" fontId="3" fillId="18" borderId="5" xfId="0" applyNumberFormat="1" applyFont="1" applyFill="1" applyBorder="1" applyAlignment="1">
      <alignment horizontal="center" vertical="center" shrinkToFit="1"/>
    </xf>
    <xf numFmtId="14" fontId="9" fillId="18" borderId="5" xfId="0" applyNumberFormat="1" applyFont="1" applyFill="1" applyBorder="1" applyAlignment="1">
      <alignment horizontal="center" vertical="center" shrinkToFit="1"/>
    </xf>
    <xf numFmtId="0" fontId="3" fillId="18" borderId="7" xfId="0" applyFont="1" applyFill="1" applyBorder="1" applyAlignment="1">
      <alignment horizontal="center" vertical="center" wrapText="1" shrinkToFit="1"/>
    </xf>
    <xf numFmtId="179" fontId="3" fillId="44" borderId="5" xfId="0" applyNumberFormat="1" applyFont="1" applyFill="1" applyBorder="1" applyAlignment="1">
      <alignment horizontal="center" vertical="center" shrinkToFit="1"/>
    </xf>
    <xf numFmtId="178" fontId="3" fillId="44" borderId="5" xfId="0" applyNumberFormat="1" applyFont="1" applyFill="1" applyBorder="1" applyAlignment="1">
      <alignment horizontal="center" vertical="center" shrinkToFit="1"/>
    </xf>
    <xf numFmtId="14" fontId="21" fillId="44" borderId="5" xfId="0" applyNumberFormat="1" applyFont="1" applyFill="1" applyBorder="1" applyAlignment="1">
      <alignment horizontal="center" vertical="center" wrapText="1" shrinkToFit="1"/>
    </xf>
    <xf numFmtId="14" fontId="8" fillId="44" borderId="5" xfId="0" applyNumberFormat="1" applyFont="1" applyFill="1" applyBorder="1" applyAlignment="1">
      <alignment horizontal="center" vertical="center" wrapText="1" shrinkToFit="1"/>
    </xf>
    <xf numFmtId="14" fontId="9" fillId="44" borderId="5" xfId="0" applyNumberFormat="1" applyFont="1" applyFill="1" applyBorder="1" applyAlignment="1">
      <alignment horizontal="center" vertical="center" shrinkToFit="1"/>
    </xf>
    <xf numFmtId="0" fontId="3" fillId="44" borderId="7" xfId="0" applyFont="1" applyFill="1" applyBorder="1" applyAlignment="1">
      <alignment horizontal="center" vertical="center" wrapText="1" shrinkToFit="1"/>
    </xf>
    <xf numFmtId="0" fontId="3" fillId="21" borderId="5" xfId="0" applyFont="1" applyFill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wrapText="1" shrinkToFit="1"/>
    </xf>
    <xf numFmtId="1" fontId="14" fillId="0" borderId="10" xfId="0" applyNumberFormat="1" applyFont="1" applyBorder="1" applyAlignment="1">
      <alignment vertical="center" shrinkToFit="1"/>
    </xf>
    <xf numFmtId="0" fontId="39" fillId="16" borderId="12" xfId="0" applyFont="1" applyFill="1" applyBorder="1" applyAlignment="1">
      <alignment horizontal="right" vertical="center"/>
    </xf>
    <xf numFmtId="0" fontId="1" fillId="5" borderId="6" xfId="0" applyFont="1" applyFill="1" applyBorder="1" applyAlignment="1">
      <alignment horizontal="center" vertical="center" shrinkToFit="1"/>
    </xf>
    <xf numFmtId="0" fontId="1" fillId="5" borderId="8" xfId="0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3" fillId="27" borderId="5" xfId="0" applyFont="1" applyFill="1" applyBorder="1" applyAlignment="1">
      <alignment horizontal="center" vertical="center" shrinkToFit="1"/>
    </xf>
    <xf numFmtId="0" fontId="3" fillId="10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 wrapText="1" shrinkToFit="1"/>
    </xf>
    <xf numFmtId="0" fontId="2" fillId="15" borderId="5" xfId="0" applyFont="1" applyFill="1" applyBorder="1" applyAlignment="1">
      <alignment horizontal="center" vertical="center"/>
    </xf>
    <xf numFmtId="176" fontId="2" fillId="15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vertical="center" shrinkToFit="1"/>
    </xf>
    <xf numFmtId="0" fontId="4" fillId="0" borderId="5" xfId="0" applyFont="1" applyBorder="1" applyAlignment="1">
      <alignment vertical="center" shrinkToFit="1"/>
    </xf>
    <xf numFmtId="0" fontId="14" fillId="0" borderId="9" xfId="0" applyFont="1" applyBorder="1" applyAlignment="1">
      <alignment vertical="center" shrinkToFit="1"/>
    </xf>
    <xf numFmtId="178" fontId="0" fillId="0" borderId="0" xfId="0" applyNumberForma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 shrinkToFit="1"/>
    </xf>
    <xf numFmtId="0" fontId="1" fillId="0" borderId="14" xfId="0" applyFont="1" applyBorder="1" applyAlignment="1">
      <alignment horizontal="center" vertical="center" wrapText="1" shrinkToFit="1"/>
    </xf>
    <xf numFmtId="0" fontId="1" fillId="0" borderId="15" xfId="0" applyFont="1" applyBorder="1" applyAlignment="1">
      <alignment horizontal="center" vertical="center" wrapText="1" shrinkToFit="1"/>
    </xf>
    <xf numFmtId="0" fontId="20" fillId="21" borderId="5" xfId="0" applyFont="1" applyFill="1" applyBorder="1" applyAlignment="1">
      <alignment horizontal="center" vertical="center" wrapText="1" shrinkToFit="1"/>
    </xf>
    <xf numFmtId="178" fontId="1" fillId="7" borderId="5" xfId="0" applyNumberFormat="1" applyFont="1" applyFill="1" applyBorder="1" applyAlignment="1">
      <alignment horizontal="center" vertical="center" wrapText="1" shrinkToFit="1"/>
    </xf>
    <xf numFmtId="0" fontId="6" fillId="0" borderId="5" xfId="0" applyFont="1" applyBorder="1" applyAlignment="1">
      <alignment horizontal="center" vertical="top" wrapText="1" shrinkToFit="1"/>
    </xf>
    <xf numFmtId="176" fontId="2" fillId="10" borderId="5" xfId="0" applyNumberFormat="1" applyFont="1" applyFill="1" applyBorder="1" applyAlignment="1">
      <alignment horizontal="center" vertical="center"/>
    </xf>
    <xf numFmtId="178" fontId="2" fillId="10" borderId="5" xfId="0" applyNumberFormat="1" applyFont="1" applyFill="1" applyBorder="1" applyAlignment="1">
      <alignment horizontal="center" vertical="center"/>
    </xf>
    <xf numFmtId="58" fontId="2" fillId="10" borderId="5" xfId="0" applyNumberFormat="1" applyFont="1" applyFill="1" applyBorder="1" applyAlignment="1">
      <alignment horizontal="center" vertical="center"/>
    </xf>
    <xf numFmtId="14" fontId="3" fillId="10" borderId="5" xfId="0" applyNumberFormat="1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4" fontId="9" fillId="10" borderId="5" xfId="0" applyNumberFormat="1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 wrapText="1"/>
    </xf>
    <xf numFmtId="178" fontId="11" fillId="10" borderId="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178" fontId="2" fillId="12" borderId="5" xfId="0" applyNumberFormat="1" applyFont="1" applyFill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176" fontId="2" fillId="14" borderId="5" xfId="0" applyNumberFormat="1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 shrinkToFit="1"/>
    </xf>
    <xf numFmtId="178" fontId="4" fillId="0" borderId="5" xfId="0" applyNumberFormat="1" applyFont="1" applyBorder="1" applyAlignment="1">
      <alignment horizontal="center" vertical="center" shrinkToFit="1"/>
    </xf>
    <xf numFmtId="0" fontId="6" fillId="16" borderId="24" xfId="0" applyFont="1" applyFill="1" applyBorder="1">
      <alignment vertical="center"/>
    </xf>
    <xf numFmtId="178" fontId="0" fillId="0" borderId="0" xfId="0" applyNumberFormat="1" applyAlignment="1">
      <alignment horizontal="center" vertical="center"/>
    </xf>
    <xf numFmtId="58" fontId="3" fillId="10" borderId="5" xfId="0" applyNumberFormat="1" applyFont="1" applyFill="1" applyBorder="1" applyAlignment="1">
      <alignment horizontal="center" vertical="center"/>
    </xf>
    <xf numFmtId="14" fontId="2" fillId="10" borderId="5" xfId="0" applyNumberFormat="1" applyFont="1" applyFill="1" applyBorder="1" applyAlignment="1">
      <alignment horizontal="center" vertical="center"/>
    </xf>
    <xf numFmtId="58" fontId="2" fillId="0" borderId="5" xfId="0" applyNumberFormat="1" applyFont="1" applyBorder="1" applyAlignment="1">
      <alignment horizontal="center" vertical="center"/>
    </xf>
    <xf numFmtId="58" fontId="9" fillId="10" borderId="5" xfId="0" applyNumberFormat="1" applyFont="1" applyFill="1" applyBorder="1" applyAlignment="1">
      <alignment horizontal="center" vertical="center"/>
    </xf>
    <xf numFmtId="178" fontId="10" fillId="10" borderId="5" xfId="0" applyNumberFormat="1" applyFont="1" applyFill="1" applyBorder="1" applyAlignment="1">
      <alignment horizontal="center" vertical="center"/>
    </xf>
    <xf numFmtId="14" fontId="10" fillId="10" borderId="5" xfId="0" applyNumberFormat="1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2" fillId="60" borderId="5" xfId="0" applyNumberFormat="1" applyFont="1" applyFill="1" applyBorder="1" applyAlignment="1">
      <alignment horizontal="center" vertical="center"/>
    </xf>
    <xf numFmtId="14" fontId="2" fillId="8" borderId="5" xfId="0" applyNumberFormat="1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80" fontId="14" fillId="0" borderId="5" xfId="0" applyNumberFormat="1" applyFont="1" applyBorder="1" applyAlignment="1">
      <alignment vertical="center" shrinkToFit="1"/>
    </xf>
    <xf numFmtId="0" fontId="6" fillId="0" borderId="24" xfId="0" applyFont="1" applyBorder="1">
      <alignment vertical="center"/>
    </xf>
    <xf numFmtId="0" fontId="1" fillId="4" borderId="13" xfId="0" applyFont="1" applyFill="1" applyBorder="1" applyAlignment="1">
      <alignment horizontal="center" vertical="center" wrapText="1" shrinkToFit="1"/>
    </xf>
    <xf numFmtId="0" fontId="1" fillId="4" borderId="14" xfId="0" applyFont="1" applyFill="1" applyBorder="1" applyAlignment="1">
      <alignment horizontal="center" vertical="center" wrapText="1" shrinkToFit="1"/>
    </xf>
    <xf numFmtId="0" fontId="1" fillId="4" borderId="15" xfId="0" applyFont="1" applyFill="1" applyBorder="1" applyAlignment="1">
      <alignment horizontal="center" vertical="center" wrapText="1" shrinkToFit="1"/>
    </xf>
    <xf numFmtId="0" fontId="6" fillId="4" borderId="5" xfId="0" applyFont="1" applyFill="1" applyBorder="1" applyAlignment="1">
      <alignment horizontal="center" vertical="center" wrapText="1" shrinkToFit="1"/>
    </xf>
    <xf numFmtId="0" fontId="3" fillId="0" borderId="51" xfId="0" applyFont="1" applyBorder="1" applyAlignment="1">
      <alignment horizontal="center" vertical="center" shrinkToFit="1"/>
    </xf>
    <xf numFmtId="0" fontId="0" fillId="0" borderId="51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1" fontId="30" fillId="0" borderId="5" xfId="0" applyNumberFormat="1" applyFont="1" applyBorder="1" applyAlignment="1">
      <alignment horizontal="center" vertical="center" shrinkToFit="1"/>
    </xf>
    <xf numFmtId="49" fontId="0" fillId="0" borderId="0" xfId="0" applyNumberForma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77" fontId="6" fillId="0" borderId="5" xfId="0" applyNumberFormat="1" applyFont="1" applyBorder="1" applyAlignment="1">
      <alignment horizontal="left" vertical="center" wrapText="1"/>
    </xf>
    <xf numFmtId="0" fontId="3" fillId="4" borderId="15" xfId="0" applyFont="1" applyFill="1" applyBorder="1" applyAlignment="1">
      <alignment horizontal="center" vertical="center" wrapText="1" shrinkToFit="1"/>
    </xf>
    <xf numFmtId="178" fontId="3" fillId="10" borderId="5" xfId="0" applyNumberFormat="1" applyFont="1" applyFill="1" applyBorder="1" applyAlignment="1">
      <alignment horizontal="center" vertical="center" wrapText="1" shrinkToFit="1"/>
    </xf>
    <xf numFmtId="178" fontId="3" fillId="10" borderId="5" xfId="0" applyNumberFormat="1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 shrinkToFit="1"/>
    </xf>
    <xf numFmtId="0" fontId="26" fillId="0" borderId="5" xfId="0" applyFont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 shrinkToFit="1"/>
    </xf>
    <xf numFmtId="178" fontId="3" fillId="12" borderId="5" xfId="0" applyNumberFormat="1" applyFont="1" applyFill="1" applyBorder="1" applyAlignment="1">
      <alignment horizontal="center" vertical="center" wrapText="1"/>
    </xf>
    <xf numFmtId="0" fontId="26" fillId="39" borderId="5" xfId="0" applyFont="1" applyFill="1" applyBorder="1" applyAlignment="1">
      <alignment horizontal="center" vertical="center" wrapText="1"/>
    </xf>
    <xf numFmtId="178" fontId="3" fillId="12" borderId="5" xfId="0" applyNumberFormat="1" applyFont="1" applyFill="1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 wrapText="1" shrinkToFit="1"/>
    </xf>
    <xf numFmtId="180" fontId="3" fillId="0" borderId="5" xfId="0" applyNumberFormat="1" applyFont="1" applyBorder="1" applyAlignment="1">
      <alignment horizontal="center" vertical="center" wrapText="1" shrinkToFit="1"/>
    </xf>
    <xf numFmtId="0" fontId="3" fillId="0" borderId="15" xfId="0" applyFont="1" applyBorder="1" applyAlignment="1">
      <alignment horizontal="center" vertical="center" wrapText="1" shrinkToFit="1"/>
    </xf>
    <xf numFmtId="0" fontId="14" fillId="0" borderId="13" xfId="0" applyFont="1" applyBorder="1" applyAlignment="1">
      <alignment horizontal="center" vertical="center" wrapText="1" shrinkToFit="1"/>
    </xf>
    <xf numFmtId="0" fontId="14" fillId="0" borderId="14" xfId="0" applyFont="1" applyBorder="1" applyAlignment="1">
      <alignment horizontal="center" vertical="center" wrapText="1" shrinkToFit="1"/>
    </xf>
    <xf numFmtId="0" fontId="14" fillId="0" borderId="15" xfId="0" applyFont="1" applyBorder="1" applyAlignment="1">
      <alignment horizontal="center" vertical="center" wrapText="1" shrinkToFit="1"/>
    </xf>
    <xf numFmtId="0" fontId="40" fillId="0" borderId="5" xfId="0" applyFont="1" applyBorder="1" applyAlignment="1">
      <alignment vertical="center" wrapText="1" shrinkToFit="1"/>
    </xf>
    <xf numFmtId="0" fontId="14" fillId="0" borderId="5" xfId="0" applyFont="1" applyBorder="1" applyAlignment="1">
      <alignment vertic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49" fontId="4" fillId="0" borderId="5" xfId="0" applyNumberFormat="1" applyFont="1" applyBorder="1" applyAlignment="1">
      <alignment horizontal="center" vertical="center" wrapText="1" shrinkToFit="1"/>
    </xf>
    <xf numFmtId="0" fontId="14" fillId="0" borderId="5" xfId="0" applyFont="1" applyBorder="1" applyAlignment="1">
      <alignment horizontal="right" vertical="center" wrapText="1" shrinkToFit="1"/>
    </xf>
    <xf numFmtId="0" fontId="6" fillId="45" borderId="5" xfId="0" applyFont="1" applyFill="1" applyBorder="1" applyAlignment="1">
      <alignment horizontal="center" vertical="center" wrapText="1" shrinkToFit="1"/>
    </xf>
    <xf numFmtId="0" fontId="6" fillId="16" borderId="0" xfId="0" applyFont="1" applyFill="1" applyAlignment="1">
      <alignment vertical="center" wrapText="1"/>
    </xf>
    <xf numFmtId="0" fontId="0" fillId="16" borderId="0" xfId="0" applyFill="1" applyAlignment="1">
      <alignment vertical="center" wrapText="1"/>
    </xf>
    <xf numFmtId="0" fontId="41" fillId="0" borderId="0" xfId="0" applyFont="1" applyAlignment="1">
      <alignment horizontal="right" vertical="center"/>
    </xf>
    <xf numFmtId="0" fontId="42" fillId="0" borderId="0" xfId="0" applyFont="1" applyAlignment="1">
      <alignment vertical="center" wrapText="1"/>
    </xf>
    <xf numFmtId="0" fontId="42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 shrinkToFit="1"/>
    </xf>
    <xf numFmtId="0" fontId="3" fillId="10" borderId="4" xfId="0" applyFont="1" applyFill="1" applyBorder="1" applyAlignment="1">
      <alignment horizontal="center" vertical="center" wrapText="1" shrinkToFit="1"/>
    </xf>
    <xf numFmtId="0" fontId="3" fillId="27" borderId="5" xfId="0" applyFont="1" applyFill="1" applyBorder="1" applyAlignment="1">
      <alignment horizontal="center" vertical="center" wrapText="1" shrinkToFit="1"/>
    </xf>
    <xf numFmtId="180" fontId="2" fillId="10" borderId="5" xfId="0" applyNumberFormat="1" applyFont="1" applyFill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center" vertical="center" wrapText="1" shrinkToFit="1"/>
    </xf>
    <xf numFmtId="178" fontId="3" fillId="0" borderId="5" xfId="0" applyNumberFormat="1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4" fillId="0" borderId="51" xfId="0" applyFont="1" applyBorder="1" applyAlignment="1">
      <alignment horizontal="center" vertical="center" wrapText="1" shrinkToFit="1"/>
    </xf>
    <xf numFmtId="0" fontId="4" fillId="0" borderId="14" xfId="0" applyFont="1" applyBorder="1" applyAlignment="1">
      <alignment horizontal="center" vertical="center" wrapText="1" shrinkToFit="1"/>
    </xf>
    <xf numFmtId="0" fontId="4" fillId="0" borderId="7" xfId="0" applyFont="1" applyBorder="1" applyAlignment="1">
      <alignment horizontal="center" vertical="center" wrapText="1" shrinkToFit="1"/>
    </xf>
    <xf numFmtId="0" fontId="14" fillId="0" borderId="9" xfId="0" applyFont="1" applyBorder="1" applyAlignment="1">
      <alignment horizontal="right" vertical="center" wrapText="1" shrinkToFit="1"/>
    </xf>
    <xf numFmtId="0" fontId="14" fillId="0" borderId="10" xfId="0" applyFont="1" applyBorder="1" applyAlignment="1">
      <alignment horizontal="right" vertical="center" wrapText="1" shrinkToFit="1"/>
    </xf>
    <xf numFmtId="180" fontId="11" fillId="0" borderId="10" xfId="0" applyNumberFormat="1" applyFont="1" applyBorder="1" applyAlignment="1">
      <alignment horizontal="center" vertical="center" wrapText="1" shrinkToFit="1"/>
    </xf>
    <xf numFmtId="0" fontId="11" fillId="8" borderId="44" xfId="0" applyFont="1" applyFill="1" applyBorder="1" applyAlignment="1">
      <alignment horizontal="center" vertical="center" wrapText="1" shrinkToFit="1"/>
    </xf>
    <xf numFmtId="0" fontId="11" fillId="8" borderId="20" xfId="0" applyFont="1" applyFill="1" applyBorder="1" applyAlignment="1">
      <alignment horizontal="center" vertical="center" wrapText="1" shrinkToFit="1"/>
    </xf>
    <xf numFmtId="0" fontId="11" fillId="8" borderId="21" xfId="0" applyFont="1" applyFill="1" applyBorder="1" applyAlignment="1">
      <alignment horizontal="center" vertical="center" wrapText="1" shrinkToFit="1"/>
    </xf>
    <xf numFmtId="0" fontId="4" fillId="0" borderId="11" xfId="0" applyFont="1" applyBorder="1" applyAlignment="1">
      <alignment horizontal="center" vertical="center" wrapText="1" shrinkToFit="1"/>
    </xf>
    <xf numFmtId="0" fontId="5" fillId="0" borderId="6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177" fontId="6" fillId="0" borderId="6" xfId="0" applyNumberFormat="1" applyFont="1" applyBorder="1" applyAlignment="1">
      <alignment horizontal="center" vertical="center"/>
    </xf>
    <xf numFmtId="177" fontId="6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 wrapText="1" shrinkToFit="1"/>
    </xf>
    <xf numFmtId="0" fontId="1" fillId="0" borderId="37" xfId="0" applyFont="1" applyBorder="1" applyAlignment="1">
      <alignment horizontal="center" vertical="center" shrinkToFit="1"/>
    </xf>
    <xf numFmtId="0" fontId="1" fillId="3" borderId="2" xfId="0" applyFont="1" applyFill="1" applyBorder="1" applyAlignment="1">
      <alignment horizontal="center" vertical="center" shrinkToFit="1"/>
    </xf>
    <xf numFmtId="0" fontId="1" fillId="4" borderId="18" xfId="0" applyFont="1" applyFill="1" applyBorder="1" applyAlignment="1">
      <alignment horizontal="center" vertical="center" shrinkToFit="1"/>
    </xf>
    <xf numFmtId="0" fontId="1" fillId="4" borderId="2" xfId="0" applyFont="1" applyFill="1" applyBorder="1" applyAlignment="1">
      <alignment horizontal="center" vertical="center" shrinkToFit="1"/>
    </xf>
    <xf numFmtId="0" fontId="1" fillId="5" borderId="37" xfId="0" applyFont="1" applyFill="1" applyBorder="1" applyAlignment="1">
      <alignment horizontal="center" vertical="center" wrapText="1" shrinkToFit="1"/>
    </xf>
    <xf numFmtId="0" fontId="1" fillId="6" borderId="16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9" xfId="0" applyFont="1" applyBorder="1" applyAlignment="1">
      <alignment horizontal="center" vertical="center" wrapText="1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54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wrapText="1" shrinkToFit="1"/>
    </xf>
    <xf numFmtId="0" fontId="6" fillId="9" borderId="10" xfId="0" applyFont="1" applyFill="1" applyBorder="1" applyAlignment="1">
      <alignment horizontal="center" vertical="center" wrapText="1" shrinkToFit="1"/>
    </xf>
    <xf numFmtId="0" fontId="1" fillId="4" borderId="21" xfId="0" applyFont="1" applyFill="1" applyBorder="1" applyAlignment="1">
      <alignment vertical="center" wrapText="1" shrinkToFit="1"/>
    </xf>
    <xf numFmtId="0" fontId="1" fillId="4" borderId="10" xfId="0" applyFont="1" applyFill="1" applyBorder="1" applyAlignment="1">
      <alignment horizontal="center" vertical="center" wrapText="1" shrinkToFit="1"/>
    </xf>
    <xf numFmtId="0" fontId="1" fillId="5" borderId="10" xfId="0" applyFont="1" applyFill="1" applyBorder="1" applyAlignment="1">
      <alignment horizontal="center" vertical="center" wrapText="1" shrinkToFit="1"/>
    </xf>
    <xf numFmtId="0" fontId="1" fillId="5" borderId="54" xfId="0" applyFont="1" applyFill="1" applyBorder="1" applyAlignment="1">
      <alignment horizontal="center" vertical="center" wrapText="1" shrinkToFit="1"/>
    </xf>
    <xf numFmtId="0" fontId="1" fillId="5" borderId="10" xfId="0" applyFont="1" applyFill="1" applyBorder="1" applyAlignment="1">
      <alignment horizontal="center" vertical="center" shrinkToFit="1"/>
    </xf>
    <xf numFmtId="0" fontId="1" fillId="6" borderId="44" xfId="0" applyFont="1" applyFill="1" applyBorder="1" applyAlignment="1">
      <alignment horizontal="center" vertical="center" shrinkToFit="1"/>
    </xf>
    <xf numFmtId="0" fontId="1" fillId="7" borderId="10" xfId="0" applyFont="1" applyFill="1" applyBorder="1" applyAlignment="1">
      <alignment horizontal="center" vertical="center" wrapText="1" shrinkToFit="1"/>
    </xf>
    <xf numFmtId="0" fontId="1" fillId="0" borderId="11" xfId="0" applyFont="1" applyBorder="1" applyAlignment="1">
      <alignment horizontal="center" vertical="center" shrinkToFit="1"/>
    </xf>
    <xf numFmtId="0" fontId="3" fillId="10" borderId="31" xfId="0" applyFont="1" applyFill="1" applyBorder="1" applyAlignment="1">
      <alignment horizontal="center" vertical="center" shrinkToFit="1"/>
    </xf>
    <xf numFmtId="58" fontId="3" fillId="10" borderId="8" xfId="0" applyNumberFormat="1" applyFont="1" applyFill="1" applyBorder="1" applyAlignment="1">
      <alignment horizontal="center" vertical="center" shrinkToFit="1"/>
    </xf>
    <xf numFmtId="0" fontId="3" fillId="10" borderId="41" xfId="0" applyFont="1" applyFill="1" applyBorder="1" applyAlignment="1">
      <alignment horizontal="center" vertical="center" wrapText="1" shrinkToFit="1"/>
    </xf>
    <xf numFmtId="0" fontId="3" fillId="10" borderId="15" xfId="0" applyFont="1" applyFill="1" applyBorder="1" applyAlignment="1">
      <alignment horizontal="center" vertical="center" shrinkToFit="1"/>
    </xf>
    <xf numFmtId="0" fontId="3" fillId="27" borderId="15" xfId="0" applyFont="1" applyFill="1" applyBorder="1" applyAlignment="1">
      <alignment horizontal="center" vertical="center" shrinkToFit="1"/>
    </xf>
    <xf numFmtId="179" fontId="3" fillId="10" borderId="6" xfId="0" applyNumberFormat="1" applyFont="1" applyFill="1" applyBorder="1" applyAlignment="1">
      <alignment horizontal="center" vertical="center" shrinkToFit="1"/>
    </xf>
    <xf numFmtId="0" fontId="3" fillId="27" borderId="52" xfId="0" applyFont="1" applyFill="1" applyBorder="1" applyAlignment="1">
      <alignment horizontal="center" vertical="center" shrinkToFit="1"/>
    </xf>
    <xf numFmtId="0" fontId="3" fillId="27" borderId="6" xfId="0" applyFont="1" applyFill="1" applyBorder="1" applyAlignment="1">
      <alignment horizontal="center" vertical="center" shrinkToFit="1"/>
    </xf>
    <xf numFmtId="58" fontId="3" fillId="10" borderId="6" xfId="0" applyNumberFormat="1" applyFont="1" applyFill="1" applyBorder="1" applyAlignment="1">
      <alignment horizontal="center" vertical="center" shrinkToFit="1"/>
    </xf>
    <xf numFmtId="0" fontId="3" fillId="10" borderId="23" xfId="0" applyFont="1" applyFill="1" applyBorder="1" applyAlignment="1">
      <alignment horizontal="center" vertical="center" wrapText="1" shrinkToFit="1"/>
    </xf>
    <xf numFmtId="179" fontId="3" fillId="10" borderId="37" xfId="0" applyNumberFormat="1" applyFont="1" applyFill="1" applyBorder="1" applyAlignment="1">
      <alignment horizontal="center" vertical="center" shrinkToFit="1"/>
    </xf>
    <xf numFmtId="179" fontId="3" fillId="10" borderId="2" xfId="0" applyNumberFormat="1" applyFont="1" applyFill="1" applyBorder="1" applyAlignment="1">
      <alignment horizontal="center" vertical="center" shrinkToFit="1"/>
    </xf>
    <xf numFmtId="0" fontId="3" fillId="10" borderId="18" xfId="0" applyFont="1" applyFill="1" applyBorder="1" applyAlignment="1">
      <alignment horizontal="center" vertical="center" shrinkToFit="1"/>
    </xf>
    <xf numFmtId="58" fontId="3" fillId="10" borderId="2" xfId="0" applyNumberFormat="1" applyFont="1" applyFill="1" applyBorder="1" applyAlignment="1">
      <alignment horizontal="center" vertical="center" shrinkToFit="1"/>
    </xf>
    <xf numFmtId="0" fontId="3" fillId="10" borderId="16" xfId="0" applyFont="1" applyFill="1" applyBorder="1" applyAlignment="1">
      <alignment horizontal="center" vertical="center" wrapText="1" shrinkToFit="1"/>
    </xf>
    <xf numFmtId="14" fontId="3" fillId="10" borderId="2" xfId="0" applyNumberFormat="1" applyFont="1" applyFill="1" applyBorder="1" applyAlignment="1">
      <alignment horizontal="center" vertical="center" shrinkToFit="1"/>
    </xf>
    <xf numFmtId="0" fontId="3" fillId="10" borderId="3" xfId="0" applyFont="1" applyFill="1" applyBorder="1" applyAlignment="1">
      <alignment horizontal="center" vertical="center" wrapText="1" shrinkToFit="1"/>
    </xf>
    <xf numFmtId="0" fontId="3" fillId="12" borderId="15" xfId="0" applyFont="1" applyFill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wrapText="1" shrinkToFit="1"/>
    </xf>
    <xf numFmtId="0" fontId="3" fillId="21" borderId="15" xfId="0" applyFont="1" applyFill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right" vertical="center" shrinkToFit="1"/>
    </xf>
    <xf numFmtId="0" fontId="14" fillId="0" borderId="10" xfId="0" applyFont="1" applyBorder="1" applyAlignment="1">
      <alignment horizontal="right" vertical="center" shrinkToFit="1"/>
    </xf>
    <xf numFmtId="0" fontId="4" fillId="0" borderId="21" xfId="0" applyFont="1" applyBorder="1" applyAlignment="1">
      <alignment horizontal="center" vertical="center" wrapText="1" shrinkToFit="1"/>
    </xf>
    <xf numFmtId="0" fontId="11" fillId="8" borderId="44" xfId="0" applyFont="1" applyFill="1" applyBorder="1" applyAlignment="1">
      <alignment horizontal="center" vertical="center" shrinkToFit="1"/>
    </xf>
    <xf numFmtId="0" fontId="11" fillId="8" borderId="20" xfId="0" applyFont="1" applyFill="1" applyBorder="1" applyAlignment="1">
      <alignment horizontal="center" vertical="center" shrinkToFit="1"/>
    </xf>
    <xf numFmtId="0" fontId="11" fillId="8" borderId="21" xfId="0" applyFont="1" applyFill="1" applyBorder="1" applyAlignment="1">
      <alignment horizontal="center" vertical="center" shrinkToFit="1"/>
    </xf>
    <xf numFmtId="0" fontId="4" fillId="0" borderId="44" xfId="0" applyFont="1" applyBorder="1" applyAlignment="1">
      <alignment horizontal="center" vertical="center" shrinkToFit="1"/>
    </xf>
    <xf numFmtId="0" fontId="2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178" fontId="6" fillId="0" borderId="14" xfId="0" applyNumberFormat="1" applyFont="1" applyBorder="1" applyAlignment="1">
      <alignment horizontal="center" vertical="center"/>
    </xf>
    <xf numFmtId="184" fontId="9" fillId="10" borderId="5" xfId="0" applyNumberFormat="1" applyFont="1" applyFill="1" applyBorder="1" applyAlignment="1">
      <alignment horizontal="center" vertical="center" wrapText="1" shrinkToFit="1"/>
    </xf>
    <xf numFmtId="49" fontId="26" fillId="10" borderId="5" xfId="0" applyNumberFormat="1" applyFont="1" applyFill="1" applyBorder="1" applyAlignment="1">
      <alignment horizontal="center" vertical="center" wrapText="1"/>
    </xf>
    <xf numFmtId="184" fontId="3" fillId="10" borderId="5" xfId="0" applyNumberFormat="1" applyFont="1" applyFill="1" applyBorder="1" applyAlignment="1">
      <alignment horizontal="center" vertical="center" wrapText="1" shrinkToFit="1"/>
    </xf>
    <xf numFmtId="49" fontId="3" fillId="10" borderId="5" xfId="0" applyNumberFormat="1" applyFont="1" applyFill="1" applyBorder="1" applyAlignment="1">
      <alignment horizontal="center" vertical="center" wrapText="1"/>
    </xf>
    <xf numFmtId="178" fontId="9" fillId="10" borderId="5" xfId="0" applyNumberFormat="1" applyFont="1" applyFill="1" applyBorder="1" applyAlignment="1">
      <alignment horizontal="center" vertical="center" wrapText="1" shrinkToFit="1"/>
    </xf>
    <xf numFmtId="178" fontId="9" fillId="0" borderId="5" xfId="0" applyNumberFormat="1" applyFont="1" applyBorder="1" applyAlignment="1">
      <alignment horizontal="center" vertical="center" wrapText="1" shrinkToFit="1"/>
    </xf>
    <xf numFmtId="49" fontId="26" fillId="0" borderId="5" xfId="0" applyNumberFormat="1" applyFont="1" applyBorder="1" applyAlignment="1">
      <alignment horizontal="center" vertical="center" wrapText="1"/>
    </xf>
    <xf numFmtId="176" fontId="10" fillId="0" borderId="5" xfId="0" applyNumberFormat="1" applyFont="1" applyBorder="1" applyAlignment="1">
      <alignment horizontal="center" vertical="center"/>
    </xf>
    <xf numFmtId="178" fontId="10" fillId="12" borderId="5" xfId="0" applyNumberFormat="1" applyFont="1" applyFill="1" applyBorder="1" applyAlignment="1">
      <alignment horizontal="center" vertical="center" shrinkToFit="1"/>
    </xf>
    <xf numFmtId="14" fontId="10" fillId="0" borderId="5" xfId="0" applyNumberFormat="1" applyFont="1" applyBorder="1" applyAlignment="1">
      <alignment horizontal="center" vertical="center" shrinkToFit="1"/>
    </xf>
    <xf numFmtId="0" fontId="14" fillId="0" borderId="13" xfId="0" applyFont="1" applyBorder="1" applyAlignment="1">
      <alignment horizontal="center" vertical="center" shrinkToFit="1"/>
    </xf>
    <xf numFmtId="0" fontId="14" fillId="0" borderId="14" xfId="0" applyFont="1" applyBorder="1" applyAlignment="1">
      <alignment horizontal="center" vertical="center" shrinkToFit="1"/>
    </xf>
    <xf numFmtId="0" fontId="14" fillId="0" borderId="15" xfId="0" applyFont="1" applyBorder="1" applyAlignment="1">
      <alignment horizontal="center" vertical="center" shrinkToFit="1"/>
    </xf>
    <xf numFmtId="0" fontId="40" fillId="0" borderId="5" xfId="0" applyFont="1" applyBorder="1" applyAlignment="1">
      <alignment vertical="center" shrinkToFit="1"/>
    </xf>
    <xf numFmtId="0" fontId="4" fillId="0" borderId="0" xfId="0" applyFont="1" applyAlignment="1">
      <alignment horizontal="left" vertical="center" wrapText="1" shrinkToFit="1"/>
    </xf>
    <xf numFmtId="0" fontId="14" fillId="0" borderId="5" xfId="0" applyFont="1" applyBorder="1" applyAlignment="1">
      <alignment horizontal="right" vertical="center" shrinkToFit="1"/>
    </xf>
    <xf numFmtId="0" fontId="14" fillId="8" borderId="5" xfId="0" applyFont="1" applyFill="1" applyBorder="1" applyAlignment="1">
      <alignment horizontal="center" vertical="center" shrinkToFit="1"/>
    </xf>
    <xf numFmtId="0" fontId="0" fillId="16" borderId="24" xfId="0" applyFill="1" applyBorder="1" applyAlignment="1">
      <alignment horizontal="center" vertical="center"/>
    </xf>
    <xf numFmtId="177" fontId="6" fillId="0" borderId="17" xfId="0" applyNumberFormat="1" applyFont="1" applyBorder="1" applyAlignment="1">
      <alignment horizontal="center" vertical="center"/>
    </xf>
    <xf numFmtId="0" fontId="1" fillId="40" borderId="13" xfId="0" applyFont="1" applyFill="1" applyBorder="1" applyAlignment="1">
      <alignment horizontal="center" vertical="center" shrinkToFit="1"/>
    </xf>
    <xf numFmtId="0" fontId="1" fillId="40" borderId="14" xfId="0" applyFont="1" applyFill="1" applyBorder="1" applyAlignment="1">
      <alignment horizontal="center" vertical="center" shrinkToFit="1"/>
    </xf>
    <xf numFmtId="0" fontId="1" fillId="40" borderId="15" xfId="0" applyFont="1" applyFill="1" applyBorder="1" applyAlignment="1">
      <alignment horizontal="center" vertical="center" shrinkToFit="1"/>
    </xf>
    <xf numFmtId="0" fontId="3" fillId="61" borderId="5" xfId="0" applyFont="1" applyFill="1" applyBorder="1" applyAlignment="1">
      <alignment horizontal="center" vertical="center" wrapText="1" shrinkToFit="1"/>
    </xf>
    <xf numFmtId="179" fontId="9" fillId="0" borderId="5" xfId="0" applyNumberFormat="1" applyFont="1" applyBorder="1" applyAlignment="1">
      <alignment horizontal="center" vertical="center" shrinkToFit="1"/>
    </xf>
    <xf numFmtId="187" fontId="3" fillId="12" borderId="5" xfId="0" applyNumberFormat="1" applyFont="1" applyFill="1" applyBorder="1" applyAlignment="1">
      <alignment horizontal="center" vertical="center" shrinkToFit="1"/>
    </xf>
    <xf numFmtId="0" fontId="43" fillId="0" borderId="0" xfId="0" applyFont="1" applyAlignment="1">
      <alignment horizontal="center" vertical="center" shrinkToFit="1"/>
    </xf>
    <xf numFmtId="180" fontId="0" fillId="0" borderId="0" xfId="0" applyNumberFormat="1">
      <alignment vertical="center"/>
    </xf>
    <xf numFmtId="180" fontId="1" fillId="23" borderId="5" xfId="0" applyNumberFormat="1" applyFont="1" applyFill="1" applyBorder="1" applyAlignment="1">
      <alignment horizontal="center" vertical="center" shrinkToFit="1"/>
    </xf>
    <xf numFmtId="0" fontId="1" fillId="62" borderId="5" xfId="0" applyFont="1" applyFill="1" applyBorder="1" applyAlignment="1">
      <alignment horizontal="center" vertical="center" shrinkToFit="1"/>
    </xf>
    <xf numFmtId="0" fontId="1" fillId="63" borderId="5" xfId="0" applyFont="1" applyFill="1" applyBorder="1" applyAlignment="1">
      <alignment horizontal="center" vertical="center" wrapText="1" shrinkToFit="1"/>
    </xf>
    <xf numFmtId="0" fontId="1" fillId="64" borderId="5" xfId="0" applyFont="1" applyFill="1" applyBorder="1" applyAlignment="1">
      <alignment horizontal="center" vertical="center" wrapText="1" shrinkToFit="1"/>
    </xf>
    <xf numFmtId="0" fontId="1" fillId="64" borderId="5" xfId="0" applyFont="1" applyFill="1" applyBorder="1" applyAlignment="1">
      <alignment horizontal="center" vertical="center" shrinkToFit="1"/>
    </xf>
    <xf numFmtId="0" fontId="1" fillId="65" borderId="5" xfId="0" applyFont="1" applyFill="1" applyBorder="1" applyAlignment="1">
      <alignment horizontal="center" vertical="center" shrinkToFit="1"/>
    </xf>
    <xf numFmtId="0" fontId="1" fillId="12" borderId="5" xfId="0" applyFont="1" applyFill="1" applyBorder="1" applyAlignment="1">
      <alignment horizontal="center" vertical="center" wrapText="1" shrinkToFit="1"/>
    </xf>
    <xf numFmtId="0" fontId="1" fillId="66" borderId="5" xfId="0" applyFont="1" applyFill="1" applyBorder="1" applyAlignment="1">
      <alignment horizontal="center" vertical="center" wrapText="1" shrinkToFit="1"/>
    </xf>
    <xf numFmtId="180" fontId="3" fillId="23" borderId="5" xfId="0" applyNumberFormat="1" applyFont="1" applyFill="1" applyBorder="1" applyAlignment="1">
      <alignment horizontal="center" vertical="center" shrinkToFit="1"/>
    </xf>
    <xf numFmtId="0" fontId="1" fillId="62" borderId="5" xfId="0" applyFont="1" applyFill="1" applyBorder="1" applyAlignment="1">
      <alignment vertical="center" shrinkToFit="1"/>
    </xf>
    <xf numFmtId="58" fontId="3" fillId="12" borderId="5" xfId="0" applyNumberFormat="1" applyFont="1" applyFill="1" applyBorder="1" applyAlignment="1">
      <alignment horizontal="center" vertical="center" shrinkToFit="1"/>
    </xf>
    <xf numFmtId="0" fontId="43" fillId="0" borderId="4" xfId="0" applyFont="1" applyBorder="1" applyAlignment="1">
      <alignment horizontal="center" vertical="center" shrinkToFit="1"/>
    </xf>
    <xf numFmtId="0" fontId="43" fillId="0" borderId="5" xfId="0" applyFont="1" applyBorder="1" applyAlignment="1">
      <alignment horizontal="center" vertical="center" shrinkToFit="1"/>
    </xf>
    <xf numFmtId="180" fontId="43" fillId="0" borderId="5" xfId="0" applyNumberFormat="1" applyFont="1" applyBorder="1" applyAlignment="1">
      <alignment horizontal="center" vertical="center" shrinkToFit="1"/>
    </xf>
    <xf numFmtId="0" fontId="43" fillId="0" borderId="7" xfId="0" applyFont="1" applyBorder="1" applyAlignment="1">
      <alignment horizontal="center" vertical="center" shrinkToFit="1"/>
    </xf>
    <xf numFmtId="180" fontId="11" fillId="0" borderId="10" xfId="0" applyNumberFormat="1" applyFont="1" applyBorder="1" applyAlignment="1">
      <alignment vertical="center" shrinkToFit="1"/>
    </xf>
    <xf numFmtId="0" fontId="43" fillId="0" borderId="10" xfId="0" applyFont="1" applyBorder="1" applyAlignment="1">
      <alignment horizontal="center" vertical="center" shrinkToFit="1"/>
    </xf>
    <xf numFmtId="0" fontId="43" fillId="0" borderId="11" xfId="0" applyFont="1" applyBorder="1" applyAlignment="1">
      <alignment horizontal="center" vertical="center" shrinkToFit="1"/>
    </xf>
    <xf numFmtId="0" fontId="6" fillId="15" borderId="0" xfId="0" applyFont="1" applyFill="1">
      <alignment vertical="center"/>
    </xf>
    <xf numFmtId="0" fontId="0" fillId="15" borderId="0" xfId="0" applyFill="1">
      <alignment vertical="center"/>
    </xf>
    <xf numFmtId="0" fontId="19" fillId="0" borderId="0" xfId="0" applyFont="1" applyAlignment="1">
      <alignment horizontal="center" vertical="center"/>
    </xf>
    <xf numFmtId="14" fontId="21" fillId="13" borderId="5" xfId="0" applyNumberFormat="1" applyFont="1" applyFill="1" applyBorder="1" applyAlignment="1">
      <alignment horizontal="center" vertical="center" wrapText="1" shrinkToFit="1"/>
    </xf>
    <xf numFmtId="0" fontId="0" fillId="0" borderId="5" xfId="0" applyBorder="1" applyAlignment="1">
      <alignment horizontal="right" vertical="center" shrinkToFit="1"/>
    </xf>
    <xf numFmtId="0" fontId="4" fillId="0" borderId="5" xfId="0" applyFont="1" applyBorder="1" applyAlignment="1">
      <alignment horizontal="right" vertical="center" shrinkToFit="1"/>
    </xf>
    <xf numFmtId="180" fontId="30" fillId="67" borderId="5" xfId="0" applyNumberFormat="1" applyFont="1" applyFill="1" applyBorder="1" applyAlignment="1">
      <alignment horizontal="center" vertical="center" shrinkToFit="1"/>
    </xf>
    <xf numFmtId="14" fontId="44" fillId="0" borderId="5" xfId="0" applyNumberFormat="1" applyFont="1" applyBorder="1" applyAlignment="1">
      <alignment horizontal="center" vertical="center" shrinkToFit="1"/>
    </xf>
    <xf numFmtId="0" fontId="19" fillId="16" borderId="0" xfId="0" applyFont="1" applyFill="1">
      <alignment vertical="center"/>
    </xf>
    <xf numFmtId="0" fontId="22" fillId="16" borderId="0" xfId="0" applyFont="1" applyFill="1" applyAlignment="1">
      <alignment horizontal="right" vertical="center"/>
    </xf>
    <xf numFmtId="10" fontId="14" fillId="0" borderId="0" xfId="0" applyNumberFormat="1" applyFont="1">
      <alignment vertical="center"/>
    </xf>
    <xf numFmtId="0" fontId="6" fillId="0" borderId="0" xfId="0" applyFont="1">
      <alignment vertical="center"/>
    </xf>
    <xf numFmtId="0" fontId="45" fillId="0" borderId="0" xfId="0" applyFont="1" applyAlignment="1">
      <alignment wrapText="1"/>
    </xf>
    <xf numFmtId="0" fontId="22" fillId="0" borderId="0" xfId="0" applyFont="1" applyAlignment="1">
      <alignment horizontal="right" vertical="center"/>
    </xf>
    <xf numFmtId="14" fontId="1" fillId="21" borderId="5" xfId="0" applyNumberFormat="1" applyFont="1" applyFill="1" applyBorder="1" applyAlignment="1">
      <alignment horizontal="center" vertical="center" wrapText="1" shrinkToFit="1"/>
    </xf>
    <xf numFmtId="58" fontId="3" fillId="12" borderId="5" xfId="0" applyNumberFormat="1" applyFont="1" applyFill="1" applyBorder="1" applyAlignment="1">
      <alignment horizontal="center" vertical="center" wrapText="1" shrinkToFit="1"/>
    </xf>
    <xf numFmtId="0" fontId="3" fillId="67" borderId="5" xfId="0" applyFont="1" applyFill="1" applyBorder="1" applyAlignment="1">
      <alignment horizontal="center" vertical="center" shrinkToFit="1"/>
    </xf>
    <xf numFmtId="0" fontId="3" fillId="67" borderId="5" xfId="0" applyFont="1" applyFill="1" applyBorder="1" applyAlignment="1">
      <alignment horizontal="center" vertical="center" wrapText="1" shrinkToFit="1"/>
    </xf>
    <xf numFmtId="58" fontId="3" fillId="67" borderId="5" xfId="0" applyNumberFormat="1" applyFont="1" applyFill="1" applyBorder="1" applyAlignment="1">
      <alignment horizontal="center" vertical="center" wrapText="1" shrinkToFit="1"/>
    </xf>
    <xf numFmtId="14" fontId="3" fillId="12" borderId="5" xfId="0" applyNumberFormat="1" applyFont="1" applyFill="1" applyBorder="1" applyAlignment="1">
      <alignment horizontal="center" vertical="center"/>
    </xf>
    <xf numFmtId="14" fontId="9" fillId="67" borderId="5" xfId="0" applyNumberFormat="1" applyFont="1" applyFill="1" applyBorder="1" applyAlignment="1">
      <alignment horizontal="center" vertical="center" wrapText="1" shrinkToFit="1"/>
    </xf>
    <xf numFmtId="14" fontId="21" fillId="67" borderId="5" xfId="0" applyNumberFormat="1" applyFont="1" applyFill="1" applyBorder="1" applyAlignment="1">
      <alignment horizontal="center" vertical="center" wrapText="1" shrinkToFit="1"/>
    </xf>
    <xf numFmtId="14" fontId="3" fillId="67" borderId="5" xfId="0" applyNumberFormat="1" applyFont="1" applyFill="1" applyBorder="1" applyAlignment="1">
      <alignment horizontal="center" vertical="center" shrinkToFit="1"/>
    </xf>
    <xf numFmtId="0" fontId="3" fillId="67" borderId="7" xfId="0" applyFont="1" applyFill="1" applyBorder="1" applyAlignment="1">
      <alignment horizontal="center" vertical="center" wrapText="1" shrinkToFit="1"/>
    </xf>
    <xf numFmtId="0" fontId="0" fillId="16" borderId="0" xfId="0" applyFill="1" applyAlignment="1">
      <alignment horizontal="right" vertical="center"/>
    </xf>
    <xf numFmtId="0" fontId="0" fillId="16" borderId="12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3" fillId="0" borderId="0" xfId="0" applyNumberFormat="1" applyFont="1" applyAlignment="1">
      <alignment horizontal="center" vertical="center" shrinkToFit="1"/>
    </xf>
    <xf numFmtId="1" fontId="14" fillId="0" borderId="5" xfId="0" applyNumberFormat="1" applyFont="1" applyBorder="1" applyAlignment="1">
      <alignment vertical="center" shrinkToFit="1"/>
    </xf>
    <xf numFmtId="1" fontId="0" fillId="68" borderId="0" xfId="0" applyNumberFormat="1" applyFill="1">
      <alignment vertical="center"/>
    </xf>
    <xf numFmtId="0" fontId="0" fillId="68" borderId="0" xfId="0" applyFill="1">
      <alignment vertical="center"/>
    </xf>
    <xf numFmtId="0" fontId="46" fillId="0" borderId="0" xfId="0" applyFont="1">
      <alignment vertical="center"/>
    </xf>
    <xf numFmtId="0" fontId="47" fillId="0" borderId="0" xfId="0" applyFont="1" applyAlignment="1">
      <alignment horizontal="center" vertical="center" wrapText="1" shrinkToFit="1"/>
    </xf>
    <xf numFmtId="0" fontId="48" fillId="0" borderId="0" xfId="0" applyFont="1" applyAlignment="1">
      <alignment vertical="center" wrapText="1" shrinkToFit="1"/>
    </xf>
    <xf numFmtId="0" fontId="48" fillId="0" borderId="0" xfId="0" applyFont="1" applyAlignment="1">
      <alignment horizontal="center" vertical="center" shrinkToFit="1"/>
    </xf>
    <xf numFmtId="0" fontId="49" fillId="0" borderId="0" xfId="0" applyFont="1" applyAlignment="1">
      <alignment horizontal="center" vertical="center" shrinkToFit="1"/>
    </xf>
    <xf numFmtId="1" fontId="14" fillId="0" borderId="10" xfId="0" applyNumberFormat="1" applyFont="1" applyBorder="1" applyAlignment="1">
      <alignment horizontal="center" vertical="center" shrinkToFit="1"/>
    </xf>
    <xf numFmtId="0" fontId="1" fillId="8" borderId="5" xfId="0" applyFont="1" applyFill="1" applyBorder="1" applyAlignment="1">
      <alignment horizontal="center" vertical="center" wrapText="1" shrinkToFit="1"/>
    </xf>
    <xf numFmtId="1" fontId="10" fillId="0" borderId="5" xfId="0" applyNumberFormat="1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1" fontId="22" fillId="68" borderId="0" xfId="0" applyNumberFormat="1" applyFont="1" applyFill="1" applyAlignment="1">
      <alignment horizontal="center" vertical="center"/>
    </xf>
    <xf numFmtId="49" fontId="3" fillId="12" borderId="5" xfId="0" applyNumberFormat="1" applyFont="1" applyFill="1" applyBorder="1" applyAlignment="1">
      <alignment horizontal="center" vertical="center" wrapText="1" shrinkToFit="1"/>
    </xf>
    <xf numFmtId="0" fontId="3" fillId="12" borderId="41" xfId="0" applyFont="1" applyFill="1" applyBorder="1" applyAlignment="1">
      <alignment horizontal="center" vertical="center" shrinkToFit="1"/>
    </xf>
    <xf numFmtId="179" fontId="3" fillId="69" borderId="5" xfId="0" applyNumberFormat="1" applyFont="1" applyFill="1" applyBorder="1" applyAlignment="1">
      <alignment horizontal="center" vertical="center" wrapText="1" shrinkToFit="1"/>
    </xf>
    <xf numFmtId="0" fontId="1" fillId="0" borderId="0" xfId="0" applyFont="1" applyAlignment="1">
      <alignment vertical="center" shrinkToFit="1"/>
    </xf>
    <xf numFmtId="0" fontId="17" fillId="7" borderId="5" xfId="0" applyFont="1" applyFill="1" applyBorder="1" applyAlignment="1">
      <alignment horizontal="center" vertical="center" wrapText="1" shrinkToFit="1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wrapText="1" shrinkToFit="1"/>
    </xf>
    <xf numFmtId="14" fontId="2" fillId="10" borderId="5" xfId="0" applyNumberFormat="1" applyFont="1" applyFill="1" applyBorder="1" applyAlignment="1">
      <alignment horizontal="center" vertical="center" wrapText="1" shrinkToFit="1"/>
    </xf>
    <xf numFmtId="14" fontId="2" fillId="0" borderId="5" xfId="0" applyNumberFormat="1" applyFont="1" applyBorder="1" applyAlignment="1">
      <alignment horizontal="center" vertical="center" wrapText="1" shrinkToFit="1"/>
    </xf>
    <xf numFmtId="0" fontId="19" fillId="0" borderId="5" xfId="0" applyFont="1" applyBorder="1" applyAlignment="1">
      <alignment horizontal="center" vertical="center" shrinkToFit="1"/>
    </xf>
    <xf numFmtId="14" fontId="2" fillId="0" borderId="5" xfId="0" applyNumberFormat="1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70" borderId="5" xfId="0" applyFont="1" applyFill="1" applyBorder="1" applyAlignment="1">
      <alignment horizontal="center" vertical="center" wrapText="1" shrinkToFit="1"/>
    </xf>
    <xf numFmtId="0" fontId="3" fillId="70" borderId="5" xfId="0" applyFont="1" applyFill="1" applyBorder="1" applyAlignment="1">
      <alignment horizontal="center" vertical="center" shrinkToFit="1"/>
    </xf>
    <xf numFmtId="179" fontId="3" fillId="70" borderId="5" xfId="0" applyNumberFormat="1" applyFont="1" applyFill="1" applyBorder="1" applyAlignment="1">
      <alignment horizontal="center" vertical="center" wrapText="1" shrinkToFit="1"/>
    </xf>
    <xf numFmtId="176" fontId="3" fillId="70" borderId="5" xfId="0" applyNumberFormat="1" applyFont="1" applyFill="1" applyBorder="1" applyAlignment="1">
      <alignment horizontal="center" vertical="center"/>
    </xf>
    <xf numFmtId="176" fontId="3" fillId="70" borderId="5" xfId="0" applyNumberFormat="1" applyFont="1" applyFill="1" applyBorder="1" applyAlignment="1">
      <alignment horizontal="center" vertical="center" shrinkToFit="1"/>
    </xf>
    <xf numFmtId="1" fontId="3" fillId="70" borderId="5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right" vertical="center" shrinkToFit="1"/>
    </xf>
    <xf numFmtId="0" fontId="4" fillId="0" borderId="4" xfId="0" applyFont="1" applyBorder="1" applyAlignment="1">
      <alignment horizontal="right" vertical="center" shrinkToFit="1"/>
    </xf>
    <xf numFmtId="0" fontId="14" fillId="0" borderId="19" xfId="0" applyFont="1" applyBorder="1" applyAlignment="1">
      <alignment horizontal="right" vertical="center" shrinkToFit="1"/>
    </xf>
    <xf numFmtId="0" fontId="14" fillId="0" borderId="20" xfId="0" applyFont="1" applyBorder="1" applyAlignment="1">
      <alignment horizontal="right" vertical="center" shrinkToFit="1"/>
    </xf>
    <xf numFmtId="0" fontId="14" fillId="0" borderId="21" xfId="0" applyFont="1" applyBorder="1" applyAlignment="1">
      <alignment horizontal="right" vertical="center" shrinkToFit="1"/>
    </xf>
    <xf numFmtId="0" fontId="22" fillId="16" borderId="12" xfId="0" applyFont="1" applyFill="1" applyBorder="1" applyAlignment="1">
      <alignment horizontal="right" vertical="center"/>
    </xf>
    <xf numFmtId="1" fontId="39" fillId="0" borderId="0" xfId="0" applyNumberFormat="1" applyFont="1">
      <alignment vertical="center"/>
    </xf>
    <xf numFmtId="0" fontId="6" fillId="0" borderId="12" xfId="0" applyFont="1" applyBorder="1" applyAlignment="1">
      <alignment horizontal="center" vertical="center"/>
    </xf>
    <xf numFmtId="177" fontId="6" fillId="0" borderId="40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center" vertical="center" wrapText="1" shrinkToFit="1"/>
    </xf>
    <xf numFmtId="186" fontId="1" fillId="0" borderId="2" xfId="0" applyNumberFormat="1" applyFont="1" applyBorder="1" applyAlignment="1">
      <alignment horizontal="center" vertical="center" wrapText="1" shrinkToFit="1"/>
    </xf>
    <xf numFmtId="0" fontId="1" fillId="3" borderId="2" xfId="0" applyFont="1" applyFill="1" applyBorder="1" applyAlignment="1">
      <alignment horizontal="center" vertical="center" wrapText="1" shrinkToFit="1"/>
    </xf>
    <xf numFmtId="0" fontId="1" fillId="6" borderId="2" xfId="0" applyFont="1" applyFill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50" fillId="0" borderId="0" xfId="0" applyFont="1" applyAlignment="1">
      <alignment vertical="center" wrapText="1"/>
    </xf>
    <xf numFmtId="0" fontId="50" fillId="0" borderId="0" xfId="0" applyFont="1">
      <alignment vertical="center"/>
    </xf>
    <xf numFmtId="180" fontId="3" fillId="28" borderId="5" xfId="0" applyNumberFormat="1" applyFont="1" applyFill="1" applyBorder="1" applyAlignment="1">
      <alignment horizontal="center" vertical="center" shrinkToFit="1"/>
    </xf>
    <xf numFmtId="186" fontId="14" fillId="0" borderId="5" xfId="0" applyNumberFormat="1" applyFont="1" applyBorder="1" applyAlignment="1">
      <alignment vertical="center" shrinkToFit="1"/>
    </xf>
    <xf numFmtId="180" fontId="3" fillId="11" borderId="5" xfId="0" applyNumberFormat="1" applyFont="1" applyFill="1" applyBorder="1" applyAlignment="1">
      <alignment horizontal="center" vertical="center" shrinkToFit="1"/>
    </xf>
    <xf numFmtId="180" fontId="11" fillId="11" borderId="5" xfId="0" applyNumberFormat="1" applyFont="1" applyFill="1" applyBorder="1" applyAlignment="1">
      <alignment horizontal="center" vertical="center" shrinkToFit="1"/>
    </xf>
    <xf numFmtId="180" fontId="11" fillId="28" borderId="5" xfId="0" applyNumberFormat="1" applyFont="1" applyFill="1" applyBorder="1" applyAlignment="1">
      <alignment horizontal="center" vertical="center" shrinkToFit="1"/>
    </xf>
    <xf numFmtId="186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51" fillId="0" borderId="5" xfId="0" applyFont="1" applyBorder="1">
      <alignment vertical="center"/>
    </xf>
    <xf numFmtId="0" fontId="3" fillId="16" borderId="0" xfId="0" applyFont="1" applyFill="1">
      <alignment vertical="center"/>
    </xf>
    <xf numFmtId="0" fontId="2" fillId="16" borderId="0" xfId="0" applyFont="1" applyFill="1">
      <alignment vertical="center"/>
    </xf>
    <xf numFmtId="0" fontId="2" fillId="16" borderId="0" xfId="0" applyFont="1" applyFill="1" applyAlignment="1">
      <alignment horizontal="right" vertical="center"/>
    </xf>
    <xf numFmtId="186" fontId="2" fillId="0" borderId="0" xfId="0" applyNumberFormat="1" applyFont="1">
      <alignment vertical="center"/>
    </xf>
    <xf numFmtId="1" fontId="2" fillId="0" borderId="0" xfId="0" applyNumberFormat="1" applyFont="1">
      <alignment vertical="center"/>
    </xf>
    <xf numFmtId="185" fontId="4" fillId="0" borderId="5" xfId="0" applyNumberFormat="1" applyFont="1" applyBorder="1" applyAlignment="1">
      <alignment horizontal="center" vertical="center" shrinkToFit="1"/>
    </xf>
    <xf numFmtId="0" fontId="3" fillId="10" borderId="7" xfId="0" applyFont="1" applyFill="1" applyBorder="1" applyAlignment="1" quotePrefix="1">
      <alignment horizontal="center" vertical="center" wrapText="1" shrinkToFit="1"/>
    </xf>
    <xf numFmtId="49" fontId="3" fillId="10" borderId="7" xfId="0" applyNumberFormat="1" applyFont="1" applyFill="1" applyBorder="1" applyAlignment="1" quotePrefix="1">
      <alignment horizontal="center" vertical="center" wrapText="1" shrinkToFit="1"/>
    </xf>
    <xf numFmtId="0" fontId="3" fillId="10" borderId="5" xfId="0" applyFont="1" applyFill="1" applyBorder="1" applyAlignment="1" quotePrefix="1">
      <alignment horizontal="center" vertical="center" wrapText="1" shrinkToFit="1"/>
    </xf>
    <xf numFmtId="49" fontId="3" fillId="10" borderId="5" xfId="0" applyNumberFormat="1" applyFont="1" applyFill="1" applyBorder="1" applyAlignment="1" quotePrefix="1">
      <alignment horizontal="center" vertical="center" wrapText="1" shrinkToFit="1"/>
    </xf>
    <xf numFmtId="0" fontId="26" fillId="10" borderId="5" xfId="0" applyFont="1" applyFill="1" applyBorder="1" applyAlignment="1" quotePrefix="1">
      <alignment horizontal="center" vertical="center" wrapText="1"/>
    </xf>
    <xf numFmtId="0" fontId="2" fillId="10" borderId="5" xfId="0" applyFont="1" applyFill="1" applyBorder="1" applyAlignment="1" quotePrefix="1">
      <alignment horizontal="center" vertical="center"/>
    </xf>
    <xf numFmtId="0" fontId="3" fillId="10" borderId="5" xfId="0" applyFont="1" applyFill="1" applyBorder="1" applyAlignment="1" quotePrefix="1">
      <alignment horizontal="center" vertical="center"/>
    </xf>
    <xf numFmtId="0" fontId="2" fillId="0" borderId="5" xfId="0" applyFont="1" applyBorder="1" applyAlignment="1" quotePrefix="1">
      <alignment horizontal="center" vertical="center"/>
    </xf>
    <xf numFmtId="0" fontId="3" fillId="10" borderId="5" xfId="0" applyFont="1" applyFill="1" applyBorder="1" applyAlignment="1" quotePrefix="1">
      <alignment horizontal="center" vertical="center" shrinkToFit="1"/>
    </xf>
    <xf numFmtId="49" fontId="3" fillId="10" borderId="7" xfId="49" applyNumberFormat="1" applyFont="1" applyFill="1" applyBorder="1" applyAlignment="1" quotePrefix="1">
      <alignment horizontal="center" vertical="center" wrapText="1"/>
    </xf>
    <xf numFmtId="0" fontId="2" fillId="39" borderId="7" xfId="0" applyFont="1" applyFill="1" applyBorder="1" applyAlignment="1" quotePrefix="1">
      <alignment horizontal="center" vertical="center"/>
    </xf>
    <xf numFmtId="0" fontId="26" fillId="0" borderId="7" xfId="0" applyFont="1" applyBorder="1" applyAlignment="1" quotePrefix="1">
      <alignment horizontal="center" vertical="center"/>
    </xf>
    <xf numFmtId="0" fontId="3" fillId="10" borderId="5" xfId="0" applyFont="1" applyFill="1" applyBorder="1" applyAlignment="1" quotePrefix="1">
      <alignment horizontal="center" vertical="center" wrapText="1"/>
    </xf>
    <xf numFmtId="0" fontId="3" fillId="10" borderId="7" xfId="0" applyFont="1" applyFill="1" applyBorder="1" applyAlignment="1" quotePrefix="1">
      <alignment horizontal="center" vertical="center" wrapText="1"/>
    </xf>
    <xf numFmtId="0" fontId="2" fillId="10" borderId="7" xfId="0" applyFont="1" applyFill="1" applyBorder="1" applyAlignment="1" quotePrefix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说明文本" xfId="50"/>
    <cellStyle name="无色" xfId="51"/>
  </cellStyles>
  <dxfs count="7">
    <dxf>
      <fill>
        <patternFill patternType="solid"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bgColor rgb="FFFFFF00"/>
        </patternFill>
      </fill>
    </dxf>
    <dxf>
      <fill>
        <patternFill patternType="solid">
          <fgColor rgb="FFFFFF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auto="1"/>
      </font>
      <fill>
        <patternFill patternType="solid">
          <fgColor rgb="FFFFFF00"/>
        </patternFill>
      </fill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mruColors>
      <color rgb="007F4578"/>
      <color rgb="00DCE6F1"/>
      <color rgb="00FFFFFF"/>
      <color rgb="00F2F2F2"/>
      <color rgb="00000000"/>
      <color rgb="00D9D9D9"/>
      <color rgb="00FFC000"/>
      <color rgb="00FF0000"/>
      <color rgb="00FFFF00"/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3" Type="http://schemas.openxmlformats.org/officeDocument/2006/relationships/styles" Target="styles.xml"/><Relationship Id="rId72" Type="http://schemas.openxmlformats.org/officeDocument/2006/relationships/sharedStrings" Target="sharedStrings.xml"/><Relationship Id="rId71" Type="http://schemas.openxmlformats.org/officeDocument/2006/relationships/theme" Target="theme/theme1.xml"/><Relationship Id="rId7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15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7" Type="http://schemas.openxmlformats.org/officeDocument/2006/relationships/image" Target="../media/image38.png"/><Relationship Id="rId6" Type="http://schemas.openxmlformats.org/officeDocument/2006/relationships/image" Target="NULL" TargetMode="External"/><Relationship Id="rId5" Type="http://schemas.openxmlformats.org/officeDocument/2006/relationships/image" Target="../media/image37.png"/><Relationship Id="rId4" Type="http://schemas.openxmlformats.org/officeDocument/2006/relationships/image" Target="../media/image36.png"/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jpeg"/><Relationship Id="rId1" Type="http://schemas.openxmlformats.org/officeDocument/2006/relationships/image" Target="../media/image43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0.png"/><Relationship Id="rId1" Type="http://schemas.openxmlformats.org/officeDocument/2006/relationships/image" Target="../media/image49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2.png"/><Relationship Id="rId1" Type="http://schemas.openxmlformats.org/officeDocument/2006/relationships/image" Target="../media/image5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4.png"/><Relationship Id="rId1" Type="http://schemas.openxmlformats.org/officeDocument/2006/relationships/image" Target="../media/image53.png"/></Relationships>
</file>

<file path=xl/drawings/_rels/drawing37.xml.rels><?xml version="1.0" encoding="UTF-8" standalone="yes"?>
<Relationships xmlns="http://schemas.openxmlformats.org/package/2006/relationships"><Relationship Id="rId9" Type="http://schemas.openxmlformats.org/officeDocument/2006/relationships/image" Target="../media/image63.png"/><Relationship Id="rId8" Type="http://schemas.openxmlformats.org/officeDocument/2006/relationships/image" Target="../media/image62.png"/><Relationship Id="rId7" Type="http://schemas.openxmlformats.org/officeDocument/2006/relationships/image" Target="../media/image61.jpeg"/><Relationship Id="rId6" Type="http://schemas.openxmlformats.org/officeDocument/2006/relationships/image" Target="../media/image60.jpeg"/><Relationship Id="rId5" Type="http://schemas.openxmlformats.org/officeDocument/2006/relationships/image" Target="../media/image59.jpeg"/><Relationship Id="rId4" Type="http://schemas.openxmlformats.org/officeDocument/2006/relationships/image" Target="../media/image58.png"/><Relationship Id="rId3" Type="http://schemas.openxmlformats.org/officeDocument/2006/relationships/image" Target="../media/image57.png"/><Relationship Id="rId2" Type="http://schemas.openxmlformats.org/officeDocument/2006/relationships/image" Target="../media/image56.png"/><Relationship Id="rId15" Type="http://schemas.openxmlformats.org/officeDocument/2006/relationships/image" Target="../media/image69.jpeg"/><Relationship Id="rId14" Type="http://schemas.openxmlformats.org/officeDocument/2006/relationships/image" Target="../media/image68.jpeg"/><Relationship Id="rId13" Type="http://schemas.openxmlformats.org/officeDocument/2006/relationships/image" Target="../media/image67.png"/><Relationship Id="rId12" Type="http://schemas.openxmlformats.org/officeDocument/2006/relationships/image" Target="../media/image66.jpeg"/><Relationship Id="rId11" Type="http://schemas.openxmlformats.org/officeDocument/2006/relationships/image" Target="../media/image65.jpeg"/><Relationship Id="rId10" Type="http://schemas.openxmlformats.org/officeDocument/2006/relationships/image" Target="../media/image64.jpeg"/><Relationship Id="rId1" Type="http://schemas.openxmlformats.org/officeDocument/2006/relationships/image" Target="../media/image55.jpeg"/></Relationships>
</file>

<file path=xl/drawings/_rels/drawing38.xml.rels><?xml version="1.0" encoding="UTF-8" standalone="yes"?>
<Relationships xmlns="http://schemas.openxmlformats.org/package/2006/relationships"><Relationship Id="rId6" Type="http://schemas.openxmlformats.org/officeDocument/2006/relationships/image" Target="../media/image75.png"/><Relationship Id="rId5" Type="http://schemas.openxmlformats.org/officeDocument/2006/relationships/image" Target="../media/image74.png"/><Relationship Id="rId4" Type="http://schemas.openxmlformats.org/officeDocument/2006/relationships/image" Target="../media/image73.png"/><Relationship Id="rId3" Type="http://schemas.openxmlformats.org/officeDocument/2006/relationships/image" Target="../media/image72.png"/><Relationship Id="rId2" Type="http://schemas.openxmlformats.org/officeDocument/2006/relationships/image" Target="../media/image71.png"/><Relationship Id="rId1" Type="http://schemas.openxmlformats.org/officeDocument/2006/relationships/image" Target="../media/image70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27</xdr:row>
      <xdr:rowOff>28575</xdr:rowOff>
    </xdr:from>
    <xdr:to>
      <xdr:col>4</xdr:col>
      <xdr:colOff>862347</xdr:colOff>
      <xdr:row>32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" y="2830195"/>
          <a:ext cx="2986405" cy="942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28575</xdr:colOff>
      <xdr:row>9</xdr:row>
      <xdr:rowOff>66675</xdr:rowOff>
    </xdr:from>
    <xdr:to>
      <xdr:col>3</xdr:col>
      <xdr:colOff>136855</xdr:colOff>
      <xdr:row>14</xdr:row>
      <xdr:rowOff>95250</xdr:rowOff>
    </xdr:to>
    <xdr:pic>
      <xdr:nvPicPr>
        <xdr:cNvPr id="3" name="图片 2" descr="27694 Jurassic .（20241204 (2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" y="2715895"/>
          <a:ext cx="1374775" cy="933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76200</xdr:colOff>
      <xdr:row>25</xdr:row>
      <xdr:rowOff>28575</xdr:rowOff>
    </xdr:from>
    <xdr:to>
      <xdr:col>2</xdr:col>
      <xdr:colOff>366346</xdr:colOff>
      <xdr:row>31</xdr:row>
      <xdr:rowOff>81329</xdr:rowOff>
    </xdr:to>
    <xdr:pic>
      <xdr:nvPicPr>
        <xdr:cNvPr id="2" name="图片 1" descr="娃娃放在桌子上&#10;&#10;中度可信度描述已自动生成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25" t="2647" r="10294" b="-3"/>
        <a:stretch>
          <a:fillRect/>
        </a:stretch>
      </xdr:blipFill>
      <xdr:spPr>
        <a:xfrm>
          <a:off x="76200" y="8209280"/>
          <a:ext cx="1089660" cy="113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337771</xdr:colOff>
      <xdr:row>25</xdr:row>
      <xdr:rowOff>28575</xdr:rowOff>
    </xdr:from>
    <xdr:to>
      <xdr:col>5</xdr:col>
      <xdr:colOff>176579</xdr:colOff>
      <xdr:row>31</xdr:row>
      <xdr:rowOff>81329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81" r="11821" b="-5"/>
        <a:stretch>
          <a:fillRect/>
        </a:stretch>
      </xdr:blipFill>
      <xdr:spPr>
        <a:xfrm>
          <a:off x="1137285" y="8209280"/>
          <a:ext cx="2001520" cy="113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22714</xdr:colOff>
      <xdr:row>25</xdr:row>
      <xdr:rowOff>28575</xdr:rowOff>
    </xdr:from>
    <xdr:to>
      <xdr:col>7</xdr:col>
      <xdr:colOff>277691</xdr:colOff>
      <xdr:row>31</xdr:row>
      <xdr:rowOff>90854</xdr:rowOff>
    </xdr:to>
    <xdr:pic>
      <xdr:nvPicPr>
        <xdr:cNvPr id="5" name="图片 3" descr="小熊布偶&#10;&#10;描述已自动生成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4" t="2322" r="13705" b="-3"/>
        <a:stretch>
          <a:fillRect/>
        </a:stretch>
      </xdr:blipFill>
      <xdr:spPr>
        <a:xfrm>
          <a:off x="2984500" y="8209280"/>
          <a:ext cx="1169670" cy="1148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266700</xdr:colOff>
      <xdr:row>16</xdr:row>
      <xdr:rowOff>38100</xdr:rowOff>
    </xdr:from>
    <xdr:ext cx="1514856" cy="150495"/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" y="5778500"/>
          <a:ext cx="1514475" cy="15049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209551</xdr:colOff>
      <xdr:row>11</xdr:row>
      <xdr:rowOff>66041</xdr:rowOff>
    </xdr:from>
    <xdr:ext cx="903058" cy="122554"/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9550" y="2858135"/>
          <a:ext cx="902970" cy="12255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126553</xdr:colOff>
      <xdr:row>11</xdr:row>
      <xdr:rowOff>66674</xdr:rowOff>
    </xdr:from>
    <xdr:ext cx="929378" cy="118598"/>
    <xdr:pic>
      <xdr:nvPicPr>
        <xdr:cNvPr id="6" name="图片 5" descr="image001(03-12-17-50-34)"/>
        <xdr:cNvPicPr>
          <a:picLocks noChangeAspect="1"/>
        </xdr:cNvPicPr>
      </xdr:nvPicPr>
      <xdr:blipFill>
        <a:blip r:embed="rId2"/>
        <a:srcRect l="61297" b="1051"/>
        <a:stretch>
          <a:fillRect/>
        </a:stretch>
      </xdr:blipFill>
      <xdr:spPr>
        <a:xfrm>
          <a:off x="1088390" y="2858135"/>
          <a:ext cx="929005" cy="11874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633780</xdr:colOff>
      <xdr:row>18</xdr:row>
      <xdr:rowOff>24178</xdr:rowOff>
    </xdr:from>
    <xdr:to>
      <xdr:col>5</xdr:col>
      <xdr:colOff>39420</xdr:colOff>
      <xdr:row>22</xdr:row>
      <xdr:rowOff>28623</xdr:rowOff>
    </xdr:to>
    <xdr:pic>
      <xdr:nvPicPr>
        <xdr:cNvPr id="2" name="图片 2" descr="Closed  Stitch (1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" r="15164"/>
        <a:stretch>
          <a:fillRect/>
        </a:stretch>
      </xdr:blipFill>
      <xdr:spPr>
        <a:xfrm>
          <a:off x="2138680" y="5695315"/>
          <a:ext cx="929640" cy="728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18</xdr:row>
      <xdr:rowOff>24178</xdr:rowOff>
    </xdr:from>
    <xdr:to>
      <xdr:col>3</xdr:col>
      <xdr:colOff>712470</xdr:colOff>
      <xdr:row>22</xdr:row>
      <xdr:rowOff>28623</xdr:rowOff>
    </xdr:to>
    <xdr:pic>
      <xdr:nvPicPr>
        <xdr:cNvPr id="3" name="图片 4" descr="Closed Jack (1)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1" r="10150"/>
        <a:stretch>
          <a:fillRect/>
        </a:stretch>
      </xdr:blipFill>
      <xdr:spPr>
        <a:xfrm>
          <a:off x="1238250" y="5695315"/>
          <a:ext cx="979170" cy="728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11723</xdr:colOff>
      <xdr:row>18</xdr:row>
      <xdr:rowOff>28576</xdr:rowOff>
    </xdr:from>
    <xdr:to>
      <xdr:col>2</xdr:col>
      <xdr:colOff>386373</xdr:colOff>
      <xdr:row>22</xdr:row>
      <xdr:rowOff>27941</xdr:rowOff>
    </xdr:to>
    <xdr:pic>
      <xdr:nvPicPr>
        <xdr:cNvPr id="4" name="图片 6" descr="Pooh (1)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9555" y="5699760"/>
          <a:ext cx="1098550" cy="723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114300</xdr:colOff>
      <xdr:row>10</xdr:row>
      <xdr:rowOff>104775</xdr:rowOff>
    </xdr:from>
    <xdr:to>
      <xdr:col>7</xdr:col>
      <xdr:colOff>9525</xdr:colOff>
      <xdr:row>18</xdr:row>
      <xdr:rowOff>48260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66975" y="2715895"/>
          <a:ext cx="1238250" cy="139128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10</xdr:row>
      <xdr:rowOff>95251</xdr:rowOff>
    </xdr:from>
    <xdr:to>
      <xdr:col>2</xdr:col>
      <xdr:colOff>311150</xdr:colOff>
      <xdr:row>18</xdr:row>
      <xdr:rowOff>38101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300" y="2706370"/>
          <a:ext cx="1158875" cy="1390650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10</xdr:row>
      <xdr:rowOff>104774</xdr:rowOff>
    </xdr:from>
    <xdr:to>
      <xdr:col>4</xdr:col>
      <xdr:colOff>102235</xdr:colOff>
      <xdr:row>18</xdr:row>
      <xdr:rowOff>48259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85875" y="2715260"/>
          <a:ext cx="1169035" cy="13912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633780</xdr:colOff>
      <xdr:row>19</xdr:row>
      <xdr:rowOff>24178</xdr:rowOff>
    </xdr:from>
    <xdr:to>
      <xdr:col>4</xdr:col>
      <xdr:colOff>714258</xdr:colOff>
      <xdr:row>23</xdr:row>
      <xdr:rowOff>28575</xdr:rowOff>
    </xdr:to>
    <xdr:pic>
      <xdr:nvPicPr>
        <xdr:cNvPr id="2" name="图片 2" descr="Closed  Stitch (1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" r="15164"/>
        <a:stretch>
          <a:fillRect/>
        </a:stretch>
      </xdr:blipFill>
      <xdr:spPr>
        <a:xfrm>
          <a:off x="2138680" y="2432685"/>
          <a:ext cx="927735" cy="728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19</xdr:row>
      <xdr:rowOff>24178</xdr:rowOff>
    </xdr:from>
    <xdr:to>
      <xdr:col>3</xdr:col>
      <xdr:colOff>712751</xdr:colOff>
      <xdr:row>23</xdr:row>
      <xdr:rowOff>28575</xdr:rowOff>
    </xdr:to>
    <xdr:pic>
      <xdr:nvPicPr>
        <xdr:cNvPr id="3" name="图片 4" descr="Closed Jack (1)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1" r="10150"/>
        <a:stretch>
          <a:fillRect/>
        </a:stretch>
      </xdr:blipFill>
      <xdr:spPr>
        <a:xfrm>
          <a:off x="1238250" y="2432685"/>
          <a:ext cx="979170" cy="728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11723</xdr:colOff>
      <xdr:row>19</xdr:row>
      <xdr:rowOff>28576</xdr:rowOff>
    </xdr:from>
    <xdr:to>
      <xdr:col>2</xdr:col>
      <xdr:colOff>386684</xdr:colOff>
      <xdr:row>23</xdr:row>
      <xdr:rowOff>28532</xdr:rowOff>
    </xdr:to>
    <xdr:pic>
      <xdr:nvPicPr>
        <xdr:cNvPr id="4" name="图片 6" descr="Pooh (1)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9555" y="2437130"/>
          <a:ext cx="1098550" cy="723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67945</xdr:colOff>
      <xdr:row>11</xdr:row>
      <xdr:rowOff>49530</xdr:rowOff>
    </xdr:from>
    <xdr:ext cx="864235" cy="501015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6070" y="3665220"/>
          <a:ext cx="864235" cy="5010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184785</xdr:colOff>
      <xdr:row>11</xdr:row>
      <xdr:rowOff>58420</xdr:rowOff>
    </xdr:from>
    <xdr:ext cx="722630" cy="518795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6810" y="3674110"/>
          <a:ext cx="722630" cy="518795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76200</xdr:colOff>
      <xdr:row>35</xdr:row>
      <xdr:rowOff>104774</xdr:rowOff>
    </xdr:from>
    <xdr:to>
      <xdr:col>2</xdr:col>
      <xdr:colOff>476250</xdr:colOff>
      <xdr:row>40</xdr:row>
      <xdr:rowOff>179454</xdr:rowOff>
    </xdr:to>
    <xdr:pic>
      <xdr:nvPicPr>
        <xdr:cNvPr id="2" name="图片 1" descr="#28472-Lion1 Th sample(20241119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" y="2715260"/>
          <a:ext cx="1457325" cy="9798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266699</xdr:colOff>
      <xdr:row>15</xdr:row>
      <xdr:rowOff>38100</xdr:rowOff>
    </xdr:from>
    <xdr:ext cx="1798321" cy="485567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065" y="5006975"/>
          <a:ext cx="1798955" cy="48514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3</xdr:col>
      <xdr:colOff>647065</xdr:colOff>
      <xdr:row>18</xdr:row>
      <xdr:rowOff>149860</xdr:rowOff>
    </xdr:to>
    <xdr:pic>
      <xdr:nvPicPr>
        <xdr:cNvPr id="10" name="图片 2"/>
        <xdr:cNvPicPr>
          <a:picLocks noChangeAspect="1"/>
        </xdr:cNvPicPr>
      </xdr:nvPicPr>
      <xdr:blipFill>
        <a:blip r:embed="rId1"/>
        <a:srcRect t="-2777" r="54221"/>
        <a:stretch>
          <a:fillRect/>
        </a:stretch>
      </xdr:blipFill>
      <xdr:spPr>
        <a:xfrm>
          <a:off x="238125" y="4509770"/>
          <a:ext cx="1885315" cy="692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644525</xdr:colOff>
      <xdr:row>15</xdr:row>
      <xdr:rowOff>28575</xdr:rowOff>
    </xdr:from>
    <xdr:to>
      <xdr:col>7</xdr:col>
      <xdr:colOff>71755</xdr:colOff>
      <xdr:row>18</xdr:row>
      <xdr:rowOff>132715</xdr:rowOff>
    </xdr:to>
    <xdr:pic>
      <xdr:nvPicPr>
        <xdr:cNvPr id="11" name="图片 3"/>
        <xdr:cNvPicPr>
          <a:picLocks noChangeAspect="1"/>
        </xdr:cNvPicPr>
      </xdr:nvPicPr>
      <xdr:blipFill>
        <a:blip r:embed="rId1"/>
        <a:srcRect l="45773" t="-1778"/>
        <a:stretch>
          <a:fillRect/>
        </a:stretch>
      </xdr:blipFill>
      <xdr:spPr>
        <a:xfrm>
          <a:off x="2120900" y="4538345"/>
          <a:ext cx="2094230" cy="647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3175</xdr:colOff>
      <xdr:row>23</xdr:row>
      <xdr:rowOff>166370</xdr:rowOff>
    </xdr:from>
    <xdr:to>
      <xdr:col>7</xdr:col>
      <xdr:colOff>287655</xdr:colOff>
      <xdr:row>37</xdr:row>
      <xdr:rowOff>7620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300" y="5914390"/>
          <a:ext cx="3865880" cy="2374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77470</xdr:colOff>
      <xdr:row>18</xdr:row>
      <xdr:rowOff>98425</xdr:rowOff>
    </xdr:from>
    <xdr:to>
      <xdr:col>9</xdr:col>
      <xdr:colOff>14403</xdr:colOff>
      <xdr:row>38</xdr:row>
      <xdr:rowOff>123825</xdr:rowOff>
    </xdr:to>
    <xdr:pic>
      <xdr:nvPicPr>
        <xdr:cNvPr id="3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470" y="3560445"/>
          <a:ext cx="5089525" cy="364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66674</xdr:colOff>
      <xdr:row>16</xdr:row>
      <xdr:rowOff>28918</xdr:rowOff>
    </xdr:from>
    <xdr:to>
      <xdr:col>4</xdr:col>
      <xdr:colOff>581659</xdr:colOff>
      <xdr:row>24</xdr:row>
      <xdr:rowOff>98768</xdr:rowOff>
    </xdr:to>
    <xdr:pic>
      <xdr:nvPicPr>
        <xdr:cNvPr id="2" name="图片 1" descr="BJs Set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0" y="3950335"/>
          <a:ext cx="2858135" cy="151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152400</xdr:colOff>
      <xdr:row>15</xdr:row>
      <xdr:rowOff>85725</xdr:rowOff>
    </xdr:from>
    <xdr:to>
      <xdr:col>4</xdr:col>
      <xdr:colOff>334328</xdr:colOff>
      <xdr:row>23</xdr:row>
      <xdr:rowOff>69533</xdr:rowOff>
    </xdr:to>
    <xdr:pic>
      <xdr:nvPicPr>
        <xdr:cNvPr id="3" name="Picture 1"/>
        <xdr:cNvPicPr preferRelativeResize="0">
          <a:picLocks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3100070"/>
          <a:ext cx="2524760" cy="143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60</xdr:row>
      <xdr:rowOff>28576</xdr:rowOff>
    </xdr:from>
    <xdr:to>
      <xdr:col>2</xdr:col>
      <xdr:colOff>265695</xdr:colOff>
      <xdr:row>65</xdr:row>
      <xdr:rowOff>92364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033770"/>
          <a:ext cx="1198880" cy="96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266701</xdr:colOff>
      <xdr:row>60</xdr:row>
      <xdr:rowOff>38100</xdr:rowOff>
    </xdr:from>
    <xdr:to>
      <xdr:col>4</xdr:col>
      <xdr:colOff>14317</xdr:colOff>
      <xdr:row>65</xdr:row>
      <xdr:rowOff>95249</xdr:rowOff>
    </xdr:to>
    <xdr:pic>
      <xdr:nvPicPr>
        <xdr:cNvPr id="4" name="图片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00150" y="6043295"/>
          <a:ext cx="1176020" cy="961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162560</xdr:colOff>
      <xdr:row>60</xdr:row>
      <xdr:rowOff>19050</xdr:rowOff>
    </xdr:from>
    <xdr:to>
      <xdr:col>4</xdr:col>
      <xdr:colOff>634365</xdr:colOff>
      <xdr:row>65</xdr:row>
      <xdr:rowOff>129540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24760" y="6024245"/>
          <a:ext cx="471805" cy="10153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87</xdr:row>
      <xdr:rowOff>66675</xdr:rowOff>
    </xdr:from>
    <xdr:to>
      <xdr:col>3</xdr:col>
      <xdr:colOff>611194</xdr:colOff>
      <xdr:row>93</xdr:row>
      <xdr:rowOff>142239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896"/>
        <a:stretch>
          <a:fillRect/>
        </a:stretch>
      </xdr:blipFill>
      <xdr:spPr>
        <a:xfrm>
          <a:off x="266700" y="9161780"/>
          <a:ext cx="2020570" cy="1160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895350</xdr:colOff>
      <xdr:row>87</xdr:row>
      <xdr:rowOff>76200</xdr:rowOff>
    </xdr:from>
    <xdr:to>
      <xdr:col>6</xdr:col>
      <xdr:colOff>120272</xdr:colOff>
      <xdr:row>94</xdr:row>
      <xdr:rowOff>37464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71750" y="9171305"/>
          <a:ext cx="1415415" cy="1227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158750</xdr:colOff>
      <xdr:row>15</xdr:row>
      <xdr:rowOff>161925</xdr:rowOff>
    </xdr:from>
    <xdr:to>
      <xdr:col>3</xdr:col>
      <xdr:colOff>488950</xdr:colOff>
      <xdr:row>21</xdr:row>
      <xdr:rowOff>127636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8750" y="3690620"/>
          <a:ext cx="1806575" cy="1051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19</xdr:row>
      <xdr:rowOff>38100</xdr:rowOff>
    </xdr:from>
    <xdr:to>
      <xdr:col>4</xdr:col>
      <xdr:colOff>779145</xdr:colOff>
      <xdr:row>23</xdr:row>
      <xdr:rowOff>45721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010660"/>
          <a:ext cx="3178810" cy="73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0</xdr:colOff>
      <xdr:row>3</xdr:row>
      <xdr:rowOff>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2611100" y="112649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</xdr:colOff>
      <xdr:row>20</xdr:row>
      <xdr:rowOff>65405</xdr:rowOff>
    </xdr:from>
    <xdr:to>
      <xdr:col>4</xdr:col>
      <xdr:colOff>57150</xdr:colOff>
      <xdr:row>27</xdr:row>
      <xdr:rowOff>17780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4432300"/>
          <a:ext cx="2343150" cy="1219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106680</xdr:colOff>
      <xdr:row>14</xdr:row>
      <xdr:rowOff>72390</xdr:rowOff>
    </xdr:from>
    <xdr:to>
      <xdr:col>7</xdr:col>
      <xdr:colOff>48895</xdr:colOff>
      <xdr:row>23</xdr:row>
      <xdr:rowOff>72390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680" y="2972435"/>
          <a:ext cx="3837940" cy="1628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581025</xdr:colOff>
      <xdr:row>193</xdr:row>
      <xdr:rowOff>142240</xdr:rowOff>
    </xdr:from>
    <xdr:to>
      <xdr:col>8</xdr:col>
      <xdr:colOff>46990</xdr:colOff>
      <xdr:row>204</xdr:row>
      <xdr:rowOff>120650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43225" y="7842885"/>
          <a:ext cx="1513840" cy="2073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15875</xdr:colOff>
      <xdr:row>205</xdr:row>
      <xdr:rowOff>257175</xdr:rowOff>
    </xdr:from>
    <xdr:to>
      <xdr:col>4</xdr:col>
      <xdr:colOff>498475</xdr:colOff>
      <xdr:row>212</xdr:row>
      <xdr:rowOff>189865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875" y="10339070"/>
          <a:ext cx="2844800" cy="193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25400</xdr:colOff>
      <xdr:row>193</xdr:row>
      <xdr:rowOff>142875</xdr:rowOff>
    </xdr:from>
    <xdr:to>
      <xdr:col>3</xdr:col>
      <xdr:colOff>37465</xdr:colOff>
      <xdr:row>204</xdr:row>
      <xdr:rowOff>119380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400" y="7843520"/>
          <a:ext cx="1488440" cy="2072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44450</xdr:colOff>
      <xdr:row>193</xdr:row>
      <xdr:rowOff>152400</xdr:rowOff>
    </xdr:from>
    <xdr:to>
      <xdr:col>4</xdr:col>
      <xdr:colOff>645160</xdr:colOff>
      <xdr:row>204</xdr:row>
      <xdr:rowOff>132715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20825" y="7853045"/>
          <a:ext cx="1486535" cy="2075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123825</xdr:colOff>
      <xdr:row>194</xdr:row>
      <xdr:rowOff>57150</xdr:rowOff>
    </xdr:from>
    <xdr:to>
      <xdr:col>10</xdr:col>
      <xdr:colOff>355600</xdr:colOff>
      <xdr:row>201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4533900" y="7938770"/>
          <a:ext cx="1222375" cy="1228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104775</xdr:colOff>
      <xdr:row>201</xdr:row>
      <xdr:rowOff>85725</xdr:rowOff>
    </xdr:from>
    <xdr:to>
      <xdr:col>10</xdr:col>
      <xdr:colOff>264160</xdr:colOff>
      <xdr:row>206</xdr:row>
      <xdr:rowOff>62230</xdr:rowOff>
    </xdr:to>
    <xdr:pic>
      <xdr:nvPicPr>
        <xdr:cNvPr id="4" name="图片 3"/>
        <xdr:cNvPicPr>
          <a:picLocks noChangeAspect="1"/>
        </xdr:cNvPicPr>
      </xdr:nvPicPr>
      <xdr:blipFill>
        <a:blip r:embed="rId7" r:link="rId6"/>
        <a:stretch>
          <a:fillRect/>
        </a:stretch>
      </xdr:blipFill>
      <xdr:spPr>
        <a:xfrm>
          <a:off x="4514850" y="9234170"/>
          <a:ext cx="1149985" cy="11957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561975</xdr:colOff>
      <xdr:row>205</xdr:row>
      <xdr:rowOff>171450</xdr:rowOff>
    </xdr:from>
    <xdr:to>
      <xdr:col>7</xdr:col>
      <xdr:colOff>414655</xdr:colOff>
      <xdr:row>212</xdr:row>
      <xdr:rowOff>238125</xdr:rowOff>
    </xdr:to>
    <xdr:pic>
      <xdr:nvPicPr>
        <xdr:cNvPr id="5" name="图片 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24175" y="10253345"/>
          <a:ext cx="1452880" cy="2066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13</xdr:row>
      <xdr:rowOff>38100</xdr:rowOff>
    </xdr:from>
    <xdr:to>
      <xdr:col>4</xdr:col>
      <xdr:colOff>750570</xdr:colOff>
      <xdr:row>17</xdr:row>
      <xdr:rowOff>45720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970530"/>
          <a:ext cx="3178810" cy="731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23</xdr:row>
      <xdr:rowOff>104775</xdr:rowOff>
    </xdr:from>
    <xdr:to>
      <xdr:col>4</xdr:col>
      <xdr:colOff>730885</xdr:colOff>
      <xdr:row>27</xdr:row>
      <xdr:rowOff>91440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3075305"/>
          <a:ext cx="3074035" cy="7105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</xdr:colOff>
      <xdr:row>16</xdr:row>
      <xdr:rowOff>0</xdr:rowOff>
    </xdr:from>
    <xdr:to>
      <xdr:col>4</xdr:col>
      <xdr:colOff>448690</xdr:colOff>
      <xdr:row>25</xdr:row>
      <xdr:rowOff>135225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4587240"/>
          <a:ext cx="2343785" cy="176339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15</xdr:row>
      <xdr:rowOff>76200</xdr:rowOff>
    </xdr:from>
    <xdr:to>
      <xdr:col>4</xdr:col>
      <xdr:colOff>495300</xdr:colOff>
      <xdr:row>22</xdr:row>
      <xdr:rowOff>165100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14050" t="12653" r="17631" b="10612"/>
        <a:stretch>
          <a:fillRect/>
        </a:stretch>
      </xdr:blipFill>
      <xdr:spPr>
        <a:xfrm>
          <a:off x="342900" y="5120640"/>
          <a:ext cx="2362200" cy="1790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198120</xdr:colOff>
      <xdr:row>30</xdr:row>
      <xdr:rowOff>157480</xdr:rowOff>
    </xdr:from>
    <xdr:to>
      <xdr:col>3</xdr:col>
      <xdr:colOff>678815</xdr:colOff>
      <xdr:row>36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2445" y="12136120"/>
          <a:ext cx="1528445" cy="1080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16565</xdr:colOff>
      <xdr:row>26</xdr:row>
      <xdr:rowOff>157369</xdr:rowOff>
    </xdr:from>
    <xdr:to>
      <xdr:col>6</xdr:col>
      <xdr:colOff>414130</xdr:colOff>
      <xdr:row>30</xdr:row>
      <xdr:rowOff>8283</xdr:rowOff>
    </xdr:to>
    <xdr:pic>
      <xdr:nvPicPr>
        <xdr:cNvPr id="2" name="图片 1" descr="IMG_0767"/>
        <xdr:cNvPicPr>
          <a:picLocks noChangeAspect="1"/>
        </xdr:cNvPicPr>
      </xdr:nvPicPr>
      <xdr:blipFill>
        <a:blip r:embed="rId1"/>
        <a:srcRect l="3107" t="52401" r="4660" b="27216"/>
        <a:stretch>
          <a:fillRect/>
        </a:stretch>
      </xdr:blipFill>
      <xdr:spPr>
        <a:xfrm>
          <a:off x="254635" y="4706620"/>
          <a:ext cx="3931285" cy="575310"/>
        </a:xfrm>
        <a:prstGeom prst="rect">
          <a:avLst/>
        </a:prstGeom>
      </xdr:spPr>
    </xdr:pic>
    <xdr:clientData/>
  </xdr:twoCellAnchor>
  <xdr:twoCellAnchor editAs="oneCell">
    <xdr:from>
      <xdr:col>1</xdr:col>
      <xdr:colOff>24850</xdr:colOff>
      <xdr:row>30</xdr:row>
      <xdr:rowOff>74544</xdr:rowOff>
    </xdr:from>
    <xdr:to>
      <xdr:col>6</xdr:col>
      <xdr:colOff>422413</xdr:colOff>
      <xdr:row>33</xdr:row>
      <xdr:rowOff>158929</xdr:rowOff>
    </xdr:to>
    <xdr:pic>
      <xdr:nvPicPr>
        <xdr:cNvPr id="3" name="图片 2" descr="IMG_0768"/>
        <xdr:cNvPicPr>
          <a:picLocks noChangeAspect="1"/>
        </xdr:cNvPicPr>
      </xdr:nvPicPr>
      <xdr:blipFill>
        <a:blip r:embed="rId2"/>
        <a:srcRect l="2026" t="48278" r="3579" b="29017"/>
        <a:stretch>
          <a:fillRect/>
        </a:stretch>
      </xdr:blipFill>
      <xdr:spPr>
        <a:xfrm>
          <a:off x="262890" y="5347970"/>
          <a:ext cx="3931285" cy="62738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28</xdr:row>
      <xdr:rowOff>76200</xdr:rowOff>
    </xdr:from>
    <xdr:to>
      <xdr:col>4</xdr:col>
      <xdr:colOff>670595</xdr:colOff>
      <xdr:row>34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502785"/>
          <a:ext cx="2985135" cy="11811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8</xdr:col>
      <xdr:colOff>124460</xdr:colOff>
      <xdr:row>26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125" y="3690620"/>
          <a:ext cx="4267835" cy="828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245745</xdr:colOff>
      <xdr:row>12</xdr:row>
      <xdr:rowOff>66675</xdr:rowOff>
    </xdr:from>
    <xdr:to>
      <xdr:col>5</xdr:col>
      <xdr:colOff>373088</xdr:colOff>
      <xdr:row>19</xdr:row>
      <xdr:rowOff>60960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3870" y="4590415"/>
          <a:ext cx="3136900" cy="126111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74295</xdr:colOff>
      <xdr:row>24</xdr:row>
      <xdr:rowOff>47625</xdr:rowOff>
    </xdr:from>
    <xdr:to>
      <xdr:col>4</xdr:col>
      <xdr:colOff>603250</xdr:colOff>
      <xdr:row>31</xdr:row>
      <xdr:rowOff>90170</xdr:rowOff>
    </xdr:to>
    <xdr:pic>
      <xdr:nvPicPr>
        <xdr:cNvPr id="3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" y="2264410"/>
          <a:ext cx="2843530" cy="13093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66675</xdr:colOff>
      <xdr:row>12</xdr:row>
      <xdr:rowOff>19050</xdr:rowOff>
    </xdr:from>
    <xdr:to>
      <xdr:col>4</xdr:col>
      <xdr:colOff>388621</xdr:colOff>
      <xdr:row>15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" y="4083050"/>
          <a:ext cx="2474595" cy="6191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152401</xdr:colOff>
      <xdr:row>15</xdr:row>
      <xdr:rowOff>28575</xdr:rowOff>
    </xdr:from>
    <xdr:to>
      <xdr:col>5</xdr:col>
      <xdr:colOff>26671</xdr:colOff>
      <xdr:row>18</xdr:row>
      <xdr:rowOff>114055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2400" y="4635500"/>
          <a:ext cx="2950845" cy="62801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76201</xdr:colOff>
      <xdr:row>12</xdr:row>
      <xdr:rowOff>0</xdr:rowOff>
    </xdr:from>
    <xdr:to>
      <xdr:col>4</xdr:col>
      <xdr:colOff>352426</xdr:colOff>
      <xdr:row>15</xdr:row>
      <xdr:rowOff>30930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4064000"/>
          <a:ext cx="2457450" cy="5734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76200</xdr:colOff>
      <xdr:row>18</xdr:row>
      <xdr:rowOff>33371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125" y="4606925"/>
          <a:ext cx="2943225" cy="57594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12</xdr:row>
      <xdr:rowOff>38101</xdr:rowOff>
    </xdr:from>
    <xdr:to>
      <xdr:col>4</xdr:col>
      <xdr:colOff>388620</xdr:colOff>
      <xdr:row>15</xdr:row>
      <xdr:rowOff>97234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" y="4202430"/>
          <a:ext cx="2446020" cy="60198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15</xdr:row>
      <xdr:rowOff>66675</xdr:rowOff>
    </xdr:from>
    <xdr:to>
      <xdr:col>5</xdr:col>
      <xdr:colOff>112395</xdr:colOff>
      <xdr:row>18</xdr:row>
      <xdr:rowOff>148981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0" y="4773930"/>
          <a:ext cx="3046095" cy="62484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62230</xdr:colOff>
      <xdr:row>19</xdr:row>
      <xdr:rowOff>117475</xdr:rowOff>
    </xdr:from>
    <xdr:to>
      <xdr:col>3</xdr:col>
      <xdr:colOff>685800</xdr:colOff>
      <xdr:row>22</xdr:row>
      <xdr:rowOff>168275</xdr:rowOff>
    </xdr:to>
    <xdr:pic>
      <xdr:nvPicPr>
        <xdr:cNvPr id="4" name="图片 8" descr="33423-3L 20241015 (2)"/>
        <xdr:cNvPicPr>
          <a:picLocks noChangeAspect="1"/>
        </xdr:cNvPicPr>
      </xdr:nvPicPr>
      <xdr:blipFill>
        <a:blip r:embed="rId1"/>
        <a:srcRect l="25352" t="24823" r="25352" b="11348"/>
        <a:stretch>
          <a:fillRect/>
        </a:stretch>
      </xdr:blipFill>
      <xdr:spPr>
        <a:xfrm>
          <a:off x="1538605" y="5563235"/>
          <a:ext cx="623570" cy="593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50800</xdr:colOff>
      <xdr:row>13</xdr:row>
      <xdr:rowOff>53975</xdr:rowOff>
    </xdr:from>
    <xdr:to>
      <xdr:col>1</xdr:col>
      <xdr:colOff>673100</xdr:colOff>
      <xdr:row>16</xdr:row>
      <xdr:rowOff>111125</xdr:rowOff>
    </xdr:to>
    <xdr:pic>
      <xdr:nvPicPr>
        <xdr:cNvPr id="5" name="图片 3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8925" y="4413885"/>
          <a:ext cx="622300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647065</xdr:colOff>
      <xdr:row>13</xdr:row>
      <xdr:rowOff>38100</xdr:rowOff>
    </xdr:from>
    <xdr:to>
      <xdr:col>3</xdr:col>
      <xdr:colOff>64135</xdr:colOff>
      <xdr:row>16</xdr:row>
      <xdr:rowOff>102870</xdr:rowOff>
    </xdr:to>
    <xdr:pic>
      <xdr:nvPicPr>
        <xdr:cNvPr id="6" name="图片 3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85190" y="4398010"/>
          <a:ext cx="655320" cy="607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33020</xdr:colOff>
      <xdr:row>13</xdr:row>
      <xdr:rowOff>35560</xdr:rowOff>
    </xdr:from>
    <xdr:to>
      <xdr:col>3</xdr:col>
      <xdr:colOff>750570</xdr:colOff>
      <xdr:row>16</xdr:row>
      <xdr:rowOff>84455</xdr:rowOff>
    </xdr:to>
    <xdr:pic>
      <xdr:nvPicPr>
        <xdr:cNvPr id="7" name="图片 3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09395" y="4395470"/>
          <a:ext cx="717550" cy="591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693420</xdr:colOff>
      <xdr:row>19</xdr:row>
      <xdr:rowOff>123190</xdr:rowOff>
    </xdr:from>
    <xdr:to>
      <xdr:col>3</xdr:col>
      <xdr:colOff>67945</xdr:colOff>
      <xdr:row>22</xdr:row>
      <xdr:rowOff>161925</xdr:rowOff>
    </xdr:to>
    <xdr:pic>
      <xdr:nvPicPr>
        <xdr:cNvPr id="8" name="图片 34" descr="33419-3L 20241015 (1)"/>
        <xdr:cNvPicPr>
          <a:picLocks noChangeAspect="1"/>
        </xdr:cNvPicPr>
      </xdr:nvPicPr>
      <xdr:blipFill>
        <a:blip r:embed="rId5"/>
        <a:srcRect l="26205" t="30000" r="31577" b="11462"/>
        <a:stretch>
          <a:fillRect/>
        </a:stretch>
      </xdr:blipFill>
      <xdr:spPr>
        <a:xfrm>
          <a:off x="931545" y="5568950"/>
          <a:ext cx="612775" cy="58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47625</xdr:colOff>
      <xdr:row>20</xdr:row>
      <xdr:rowOff>17145</xdr:rowOff>
    </xdr:from>
    <xdr:to>
      <xdr:col>1</xdr:col>
      <xdr:colOff>693420</xdr:colOff>
      <xdr:row>23</xdr:row>
      <xdr:rowOff>28575</xdr:rowOff>
    </xdr:to>
    <xdr:pic>
      <xdr:nvPicPr>
        <xdr:cNvPr id="9" name="图片 35" descr="33420-3L 20241015 (2)"/>
        <xdr:cNvPicPr>
          <a:picLocks noChangeAspect="1"/>
        </xdr:cNvPicPr>
      </xdr:nvPicPr>
      <xdr:blipFill>
        <a:blip r:embed="rId6"/>
        <a:srcRect l="22678" t="25835" r="29375" b="14323"/>
        <a:stretch>
          <a:fillRect/>
        </a:stretch>
      </xdr:blipFill>
      <xdr:spPr>
        <a:xfrm>
          <a:off x="285750" y="5643880"/>
          <a:ext cx="645795" cy="554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433705</xdr:colOff>
      <xdr:row>19</xdr:row>
      <xdr:rowOff>128905</xdr:rowOff>
    </xdr:from>
    <xdr:to>
      <xdr:col>6</xdr:col>
      <xdr:colOff>2540</xdr:colOff>
      <xdr:row>22</xdr:row>
      <xdr:rowOff>160020</xdr:rowOff>
    </xdr:to>
    <xdr:pic>
      <xdr:nvPicPr>
        <xdr:cNvPr id="10" name="图片 37" descr="33424-3L 20241015 (2)"/>
        <xdr:cNvPicPr>
          <a:picLocks noChangeAspect="1"/>
        </xdr:cNvPicPr>
      </xdr:nvPicPr>
      <xdr:blipFill>
        <a:blip r:embed="rId7"/>
        <a:srcRect l="27603" t="16045" r="10883" b="8896"/>
        <a:stretch>
          <a:fillRect/>
        </a:stretch>
      </xdr:blipFill>
      <xdr:spPr>
        <a:xfrm>
          <a:off x="2757805" y="5574665"/>
          <a:ext cx="664210" cy="574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354330</xdr:colOff>
      <xdr:row>13</xdr:row>
      <xdr:rowOff>20320</xdr:rowOff>
    </xdr:from>
    <xdr:to>
      <xdr:col>5</xdr:col>
      <xdr:colOff>317500</xdr:colOff>
      <xdr:row>16</xdr:row>
      <xdr:rowOff>114300</xdr:rowOff>
    </xdr:to>
    <xdr:pic>
      <xdr:nvPicPr>
        <xdr:cNvPr id="11" name="图片 3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678430" y="4380230"/>
          <a:ext cx="668020" cy="636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711835</xdr:colOff>
      <xdr:row>13</xdr:row>
      <xdr:rowOff>8255</xdr:rowOff>
    </xdr:from>
    <xdr:to>
      <xdr:col>4</xdr:col>
      <xdr:colOff>379095</xdr:colOff>
      <xdr:row>16</xdr:row>
      <xdr:rowOff>102235</xdr:rowOff>
    </xdr:to>
    <xdr:pic>
      <xdr:nvPicPr>
        <xdr:cNvPr id="12" name="图片 3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88210" y="4368165"/>
          <a:ext cx="514985" cy="636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683895</xdr:colOff>
      <xdr:row>19</xdr:row>
      <xdr:rowOff>160020</xdr:rowOff>
    </xdr:from>
    <xdr:to>
      <xdr:col>4</xdr:col>
      <xdr:colOff>549275</xdr:colOff>
      <xdr:row>23</xdr:row>
      <xdr:rowOff>10160</xdr:rowOff>
    </xdr:to>
    <xdr:pic>
      <xdr:nvPicPr>
        <xdr:cNvPr id="13" name="图片 40" descr="33425-3L 20241015 (1)"/>
        <xdr:cNvPicPr>
          <a:picLocks noChangeAspect="1"/>
        </xdr:cNvPicPr>
      </xdr:nvPicPr>
      <xdr:blipFill>
        <a:blip r:embed="rId10"/>
        <a:srcRect l="31512" t="12206" r="2312" b="13387"/>
        <a:stretch>
          <a:fillRect/>
        </a:stretch>
      </xdr:blipFill>
      <xdr:spPr>
        <a:xfrm>
          <a:off x="2160270" y="5605780"/>
          <a:ext cx="713105" cy="574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22225</xdr:colOff>
      <xdr:row>16</xdr:row>
      <xdr:rowOff>96520</xdr:rowOff>
    </xdr:from>
    <xdr:to>
      <xdr:col>2</xdr:col>
      <xdr:colOff>29210</xdr:colOff>
      <xdr:row>20</xdr:row>
      <xdr:rowOff>43815</xdr:rowOff>
    </xdr:to>
    <xdr:pic>
      <xdr:nvPicPr>
        <xdr:cNvPr id="14" name="图片 4" descr="33475-33480 Lotso (20250324 (2)"/>
        <xdr:cNvPicPr>
          <a:picLocks noChangeAspect="1"/>
        </xdr:cNvPicPr>
      </xdr:nvPicPr>
      <xdr:blipFill>
        <a:blip r:embed="rId11"/>
        <a:srcRect l="19945" t="3336" r="15720" b="4086"/>
        <a:stretch>
          <a:fillRect/>
        </a:stretch>
      </xdr:blipFill>
      <xdr:spPr>
        <a:xfrm>
          <a:off x="260350" y="4999355"/>
          <a:ext cx="702310" cy="671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606425</xdr:colOff>
      <xdr:row>16</xdr:row>
      <xdr:rowOff>104140</xdr:rowOff>
    </xdr:from>
    <xdr:to>
      <xdr:col>3</xdr:col>
      <xdr:colOff>182880</xdr:colOff>
      <xdr:row>20</xdr:row>
      <xdr:rowOff>18415</xdr:rowOff>
    </xdr:to>
    <xdr:pic>
      <xdr:nvPicPr>
        <xdr:cNvPr id="15" name="图片 2" descr="33475-33479 Alien toystory(20250324 (29)"/>
        <xdr:cNvPicPr>
          <a:picLocks noChangeAspect="1"/>
        </xdr:cNvPicPr>
      </xdr:nvPicPr>
      <xdr:blipFill>
        <a:blip r:embed="rId12"/>
        <a:srcRect l="19681" t="13695" r="13544" b="3090"/>
        <a:stretch>
          <a:fillRect/>
        </a:stretch>
      </xdr:blipFill>
      <xdr:spPr>
        <a:xfrm>
          <a:off x="844550" y="5006975"/>
          <a:ext cx="81470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692150</xdr:colOff>
      <xdr:row>16</xdr:row>
      <xdr:rowOff>85725</xdr:rowOff>
    </xdr:from>
    <xdr:to>
      <xdr:col>4</xdr:col>
      <xdr:colOff>424815</xdr:colOff>
      <xdr:row>20</xdr:row>
      <xdr:rowOff>6350</xdr:rowOff>
    </xdr:to>
    <xdr:pic>
      <xdr:nvPicPr>
        <xdr:cNvPr id="16" name="图片 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168525" y="4988560"/>
          <a:ext cx="580390" cy="64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424180</xdr:colOff>
      <xdr:row>16</xdr:row>
      <xdr:rowOff>70485</xdr:rowOff>
    </xdr:from>
    <xdr:to>
      <xdr:col>6</xdr:col>
      <xdr:colOff>8255</xdr:colOff>
      <xdr:row>19</xdr:row>
      <xdr:rowOff>158115</xdr:rowOff>
    </xdr:to>
    <xdr:pic>
      <xdr:nvPicPr>
        <xdr:cNvPr id="17" name="图片 45" descr="33421-3L 20241015 (1)"/>
        <xdr:cNvPicPr>
          <a:picLocks noChangeAspect="1"/>
        </xdr:cNvPicPr>
      </xdr:nvPicPr>
      <xdr:blipFill>
        <a:blip r:embed="rId14"/>
        <a:srcRect l="28806" t="19211" r="16316" b="7317"/>
        <a:stretch>
          <a:fillRect/>
        </a:stretch>
      </xdr:blipFill>
      <xdr:spPr>
        <a:xfrm>
          <a:off x="2748280" y="4973320"/>
          <a:ext cx="679450" cy="630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106045</xdr:colOff>
      <xdr:row>16</xdr:row>
      <xdr:rowOff>69215</xdr:rowOff>
    </xdr:from>
    <xdr:to>
      <xdr:col>3</xdr:col>
      <xdr:colOff>719455</xdr:colOff>
      <xdr:row>19</xdr:row>
      <xdr:rowOff>153035</xdr:rowOff>
    </xdr:to>
    <xdr:pic>
      <xdr:nvPicPr>
        <xdr:cNvPr id="18" name="图片 5" descr="33475-33478 Buzz(20250324 (17)"/>
        <xdr:cNvPicPr>
          <a:picLocks noChangeAspect="1"/>
        </xdr:cNvPicPr>
      </xdr:nvPicPr>
      <xdr:blipFill>
        <a:blip r:embed="rId15"/>
        <a:srcRect l="22453" t="7796" r="23077" b="8823"/>
        <a:stretch>
          <a:fillRect/>
        </a:stretch>
      </xdr:blipFill>
      <xdr:spPr>
        <a:xfrm>
          <a:off x="1582420" y="4972050"/>
          <a:ext cx="613410" cy="6267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190283</xdr:colOff>
      <xdr:row>17</xdr:row>
      <xdr:rowOff>111125</xdr:rowOff>
    </xdr:from>
    <xdr:to>
      <xdr:col>7</xdr:col>
      <xdr:colOff>283411</xdr:colOff>
      <xdr:row>20</xdr:row>
      <xdr:rowOff>104140</xdr:rowOff>
    </xdr:to>
    <xdr:pic>
      <xdr:nvPicPr>
        <xdr:cNvPr id="3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28240" y="4316095"/>
          <a:ext cx="1912620" cy="535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302678</xdr:colOff>
      <xdr:row>17</xdr:row>
      <xdr:rowOff>20955</xdr:rowOff>
    </xdr:from>
    <xdr:to>
      <xdr:col>4</xdr:col>
      <xdr:colOff>90371</xdr:colOff>
      <xdr:row>20</xdr:row>
      <xdr:rowOff>166370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0385" y="4225925"/>
          <a:ext cx="1788160" cy="688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304583</xdr:colOff>
      <xdr:row>13</xdr:row>
      <xdr:rowOff>68580</xdr:rowOff>
    </xdr:from>
    <xdr:to>
      <xdr:col>4</xdr:col>
      <xdr:colOff>111620</xdr:colOff>
      <xdr:row>16</xdr:row>
      <xdr:rowOff>127880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2290" y="3549650"/>
          <a:ext cx="1807210" cy="601980"/>
        </a:xfrm>
        <a:prstGeom prst="rect">
          <a:avLst/>
        </a:prstGeom>
      </xdr:spPr>
    </xdr:pic>
    <xdr:clientData/>
  </xdr:twoCellAnchor>
  <xdr:twoCellAnchor editAs="oneCell">
    <xdr:from>
      <xdr:col>4</xdr:col>
      <xdr:colOff>188378</xdr:colOff>
      <xdr:row>13</xdr:row>
      <xdr:rowOff>116840</xdr:rowOff>
    </xdr:from>
    <xdr:to>
      <xdr:col>7</xdr:col>
      <xdr:colOff>297381</xdr:colOff>
      <xdr:row>16</xdr:row>
      <xdr:rowOff>84455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26335" y="3597910"/>
          <a:ext cx="1928495" cy="510540"/>
        </a:xfrm>
        <a:prstGeom prst="rect">
          <a:avLst/>
        </a:prstGeom>
      </xdr:spPr>
    </xdr:pic>
    <xdr:clientData/>
  </xdr:twoCellAnchor>
  <xdr:twoCellAnchor editAs="oneCell">
    <xdr:from>
      <xdr:col>4</xdr:col>
      <xdr:colOff>235368</xdr:colOff>
      <xdr:row>21</xdr:row>
      <xdr:rowOff>92710</xdr:rowOff>
    </xdr:from>
    <xdr:to>
      <xdr:col>6</xdr:col>
      <xdr:colOff>433271</xdr:colOff>
      <xdr:row>24</xdr:row>
      <xdr:rowOff>70485</xdr:rowOff>
    </xdr:to>
    <xdr:pic>
      <xdr:nvPicPr>
        <xdr:cNvPr id="7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73325" y="5021580"/>
          <a:ext cx="1550670" cy="52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198120</xdr:colOff>
      <xdr:row>21</xdr:row>
      <xdr:rowOff>66598</xdr:rowOff>
    </xdr:from>
    <xdr:to>
      <xdr:col>4</xdr:col>
      <xdr:colOff>137160</xdr:colOff>
      <xdr:row>24</xdr:row>
      <xdr:rowOff>28498</xdr:rowOff>
    </xdr:to>
    <xdr:pic>
      <xdr:nvPicPr>
        <xdr:cNvPr id="8" name="图片 5"/>
        <xdr:cNvPicPr>
          <a:picLocks noChangeAspect="1" noChangeArrowheads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6245" y="4994910"/>
          <a:ext cx="193929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238125" y="4603115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29210</xdr:colOff>
      <xdr:row>21</xdr:row>
      <xdr:rowOff>95885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38125" y="4603115"/>
          <a:ext cx="3086735" cy="11817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 extrusionOk="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0.xml"/><Relationship Id="rId1" Type="http://schemas.openxmlformats.org/officeDocument/2006/relationships/comments" Target="../comments1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3.xml"/><Relationship Id="rId1" Type="http://schemas.openxmlformats.org/officeDocument/2006/relationships/comments" Target="../comments19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14.xml"/><Relationship Id="rId1" Type="http://schemas.openxmlformats.org/officeDocument/2006/relationships/comments" Target="../comments21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15.xml"/><Relationship Id="rId1" Type="http://schemas.openxmlformats.org/officeDocument/2006/relationships/comments" Target="../comments2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17.xml"/><Relationship Id="rId1" Type="http://schemas.openxmlformats.org/officeDocument/2006/relationships/comments" Target="../comments2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18.xml"/><Relationship Id="rId1" Type="http://schemas.openxmlformats.org/officeDocument/2006/relationships/comments" Target="../comments24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19.xml"/><Relationship Id="rId1" Type="http://schemas.openxmlformats.org/officeDocument/2006/relationships/comments" Target="../comments25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0.xml"/><Relationship Id="rId1" Type="http://schemas.openxmlformats.org/officeDocument/2006/relationships/comments" Target="../comments26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1.xml"/><Relationship Id="rId1" Type="http://schemas.openxmlformats.org/officeDocument/2006/relationships/comments" Target="../comments27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2.xml"/><Relationship Id="rId1" Type="http://schemas.openxmlformats.org/officeDocument/2006/relationships/comments" Target="../comments28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3.xml"/><Relationship Id="rId1" Type="http://schemas.openxmlformats.org/officeDocument/2006/relationships/comments" Target="../comments29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24.xml"/><Relationship Id="rId1" Type="http://schemas.openxmlformats.org/officeDocument/2006/relationships/comments" Target="../comments30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25.xml"/><Relationship Id="rId1" Type="http://schemas.openxmlformats.org/officeDocument/2006/relationships/comments" Target="../comments31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comments" Target="../comments3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29.xml"/><Relationship Id="rId1" Type="http://schemas.openxmlformats.org/officeDocument/2006/relationships/comments" Target="../comments33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0.xml"/><Relationship Id="rId1" Type="http://schemas.openxmlformats.org/officeDocument/2006/relationships/comments" Target="../comments34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1.xml"/><Relationship Id="rId1" Type="http://schemas.openxmlformats.org/officeDocument/2006/relationships/comments" Target="../comments35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2.xml"/><Relationship Id="rId1" Type="http://schemas.openxmlformats.org/officeDocument/2006/relationships/comments" Target="../comments36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3.xml"/><Relationship Id="rId1" Type="http://schemas.openxmlformats.org/officeDocument/2006/relationships/comments" Target="../comments37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8.vml"/><Relationship Id="rId1" Type="http://schemas.openxmlformats.org/officeDocument/2006/relationships/comments" Target="../comments38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9.vml"/><Relationship Id="rId1" Type="http://schemas.openxmlformats.org/officeDocument/2006/relationships/comments" Target="../comments3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0.vml"/><Relationship Id="rId1" Type="http://schemas.openxmlformats.org/officeDocument/2006/relationships/comments" Target="../comments40.x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1.vml"/><Relationship Id="rId1" Type="http://schemas.openxmlformats.org/officeDocument/2006/relationships/comments" Target="../comments41.x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2.vml"/><Relationship Id="rId1" Type="http://schemas.openxmlformats.org/officeDocument/2006/relationships/comments" Target="../comments42.x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3.vml"/><Relationship Id="rId1" Type="http://schemas.openxmlformats.org/officeDocument/2006/relationships/comments" Target="../comments43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4.vml"/><Relationship Id="rId1" Type="http://schemas.openxmlformats.org/officeDocument/2006/relationships/comments" Target="../comments44.x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5.vml"/><Relationship Id="rId1" Type="http://schemas.openxmlformats.org/officeDocument/2006/relationships/comments" Target="../comments45.x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6.vml"/><Relationship Id="rId1" Type="http://schemas.openxmlformats.org/officeDocument/2006/relationships/comments" Target="../comments46.x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7.vml"/><Relationship Id="rId1" Type="http://schemas.openxmlformats.org/officeDocument/2006/relationships/comments" Target="../comments4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K15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S12" sqref="S12"/>
    </sheetView>
  </sheetViews>
  <sheetFormatPr defaultColWidth="9" defaultRowHeight="14.25"/>
  <cols>
    <col min="1" max="1" width="3.125" customWidth="1"/>
    <col min="2" max="2" width="8.125" customWidth="1"/>
    <col min="3" max="3" width="6.5" customWidth="1"/>
    <col min="4" max="5" width="11.375" customWidth="1"/>
    <col min="6" max="6" width="6.5" customWidth="1"/>
    <col min="7" max="7" width="6.625" customWidth="1"/>
    <col min="8" max="9" width="5.875" customWidth="1"/>
    <col min="10" max="10" width="7.125" style="818" customWidth="1"/>
    <col min="11" max="11" width="5.125" customWidth="1"/>
    <col min="12" max="49" width="6" customWidth="1"/>
    <col min="50" max="50" width="9.375" style="288" customWidth="1"/>
    <col min="51" max="51" width="5.125" customWidth="1"/>
    <col min="52" max="54" width="5.625" customWidth="1"/>
    <col min="55" max="55" width="5.375" customWidth="1"/>
    <col min="56" max="56" width="8.375" style="288" customWidth="1"/>
    <col min="57" max="57" width="14.875" customWidth="1"/>
    <col min="58" max="58" width="9" style="114" customWidth="1"/>
    <col min="59" max="59" width="12.125" style="113" customWidth="1"/>
    <col min="60" max="60" width="10.625" style="113" customWidth="1"/>
    <col min="61" max="61" width="8.625" style="113" customWidth="1"/>
    <col min="62" max="62" width="18.625" style="194" customWidth="1"/>
    <col min="63" max="63" width="17.125" style="255" customWidth="1"/>
  </cols>
  <sheetData>
    <row r="1" ht="35.1" customHeight="1" spans="1:63">
      <c r="A1" s="256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819"/>
      <c r="M1" s="819"/>
      <c r="N1" s="819"/>
      <c r="O1" s="819"/>
      <c r="P1" s="819"/>
      <c r="Q1" s="819"/>
      <c r="R1" s="819"/>
      <c r="S1" s="819"/>
      <c r="T1" s="819"/>
      <c r="U1" s="819"/>
      <c r="V1" s="819"/>
      <c r="W1" s="819"/>
      <c r="X1" s="819"/>
      <c r="Y1" s="819"/>
      <c r="Z1" s="819"/>
      <c r="AA1" s="819"/>
      <c r="AB1" s="819"/>
      <c r="AC1" s="819"/>
      <c r="AD1" s="819"/>
      <c r="AE1" s="819"/>
      <c r="AF1" s="819"/>
      <c r="AG1" s="819"/>
      <c r="AH1" s="819"/>
      <c r="AI1" s="819"/>
      <c r="AJ1" s="819"/>
      <c r="AK1" s="819"/>
      <c r="AL1" s="819"/>
      <c r="AM1" s="819"/>
      <c r="AN1" s="819"/>
      <c r="AO1" s="819"/>
      <c r="AP1" s="819"/>
      <c r="AQ1" s="819"/>
      <c r="AR1" s="819"/>
      <c r="AS1" s="819"/>
      <c r="AT1" s="819"/>
      <c r="AU1" s="819"/>
      <c r="AV1" s="819"/>
      <c r="AW1" s="819"/>
      <c r="AX1" s="819"/>
      <c r="AY1" s="819"/>
      <c r="AZ1" s="819"/>
      <c r="BA1" s="819"/>
      <c r="BB1" s="819"/>
      <c r="BC1" s="819"/>
      <c r="BD1" s="819"/>
      <c r="BE1" s="819"/>
      <c r="BF1" s="820"/>
      <c r="BG1" s="259" t="s">
        <v>1</v>
      </c>
      <c r="BH1" s="260"/>
      <c r="BI1" s="200">
        <f ca="1">TODAY()</f>
        <v>46277</v>
      </c>
      <c r="BJ1" s="201"/>
    </row>
    <row r="2" s="190" customFormat="1" ht="21.95" customHeight="1" spans="1:63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821" t="s">
        <v>11</v>
      </c>
      <c r="K2" s="15" t="s">
        <v>12</v>
      </c>
      <c r="L2" s="187" t="s">
        <v>13</v>
      </c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9"/>
      <c r="AX2" s="20" t="s">
        <v>14</v>
      </c>
      <c r="AY2" s="22" t="s">
        <v>15</v>
      </c>
      <c r="AZ2" s="22" t="s">
        <v>16</v>
      </c>
      <c r="BA2" s="22" t="s">
        <v>17</v>
      </c>
      <c r="BB2" s="22" t="s">
        <v>18</v>
      </c>
      <c r="BC2" s="22" t="s">
        <v>19</v>
      </c>
      <c r="BD2" s="22" t="s">
        <v>20</v>
      </c>
      <c r="BE2" s="261" t="s">
        <v>21</v>
      </c>
      <c r="BF2" s="25" t="s">
        <v>22</v>
      </c>
      <c r="BG2" s="26" t="s">
        <v>23</v>
      </c>
      <c r="BH2" s="26" t="s">
        <v>24</v>
      </c>
      <c r="BI2" s="26" t="s">
        <v>25</v>
      </c>
      <c r="BJ2" s="205" t="s">
        <v>26</v>
      </c>
      <c r="BK2" s="159"/>
    </row>
    <row r="3" s="190" customFormat="1" ht="36" customHeight="1" spans="1:63">
      <c r="A3" s="14"/>
      <c r="B3" s="15"/>
      <c r="C3" s="15"/>
      <c r="D3" s="15"/>
      <c r="E3" s="29"/>
      <c r="F3" s="15"/>
      <c r="G3" s="15"/>
      <c r="H3" s="15"/>
      <c r="I3" s="15"/>
      <c r="J3" s="821"/>
      <c r="K3" s="15"/>
      <c r="L3" s="264" t="s">
        <v>27</v>
      </c>
      <c r="M3" s="264" t="s">
        <v>28</v>
      </c>
      <c r="N3" s="292" t="s">
        <v>29</v>
      </c>
      <c r="O3" s="264" t="s">
        <v>30</v>
      </c>
      <c r="P3" s="264" t="s">
        <v>31</v>
      </c>
      <c r="Q3" s="264" t="s">
        <v>32</v>
      </c>
      <c r="R3" s="264" t="s">
        <v>33</v>
      </c>
      <c r="S3" s="264" t="s">
        <v>34</v>
      </c>
      <c r="T3" s="265" t="s">
        <v>35</v>
      </c>
      <c r="U3" s="264" t="s">
        <v>36</v>
      </c>
      <c r="V3" s="264" t="s">
        <v>37</v>
      </c>
      <c r="W3" s="292" t="s">
        <v>38</v>
      </c>
      <c r="X3" s="264" t="s">
        <v>39</v>
      </c>
      <c r="Y3" s="264" t="s">
        <v>40</v>
      </c>
      <c r="Z3" s="264" t="s">
        <v>41</v>
      </c>
      <c r="AA3" s="264" t="s">
        <v>42</v>
      </c>
      <c r="AB3" s="264" t="s">
        <v>43</v>
      </c>
      <c r="AC3" s="292" t="s">
        <v>44</v>
      </c>
      <c r="AD3" s="292" t="s">
        <v>45</v>
      </c>
      <c r="AE3" s="264" t="s">
        <v>46</v>
      </c>
      <c r="AF3" s="264" t="s">
        <v>47</v>
      </c>
      <c r="AG3" s="264" t="s">
        <v>48</v>
      </c>
      <c r="AH3" s="264" t="s">
        <v>49</v>
      </c>
      <c r="AI3" s="264" t="s">
        <v>50</v>
      </c>
      <c r="AJ3" s="265" t="s">
        <v>51</v>
      </c>
      <c r="AK3" s="264" t="s">
        <v>52</v>
      </c>
      <c r="AL3" s="264" t="s">
        <v>53</v>
      </c>
      <c r="AM3" s="264" t="s">
        <v>54</v>
      </c>
      <c r="AN3" s="292" t="s">
        <v>55</v>
      </c>
      <c r="AO3" s="292" t="s">
        <v>56</v>
      </c>
      <c r="AP3" s="264" t="s">
        <v>57</v>
      </c>
      <c r="AQ3" s="292" t="s">
        <v>58</v>
      </c>
      <c r="AR3" s="264" t="s">
        <v>59</v>
      </c>
      <c r="AS3" s="264" t="s">
        <v>60</v>
      </c>
      <c r="AT3" s="292" t="s">
        <v>61</v>
      </c>
      <c r="AU3" s="264" t="s">
        <v>62</v>
      </c>
      <c r="AV3" s="825" t="s">
        <v>63</v>
      </c>
      <c r="AW3" s="265" t="s">
        <v>64</v>
      </c>
      <c r="AX3" s="31"/>
      <c r="AY3" s="32"/>
      <c r="AZ3" s="32"/>
      <c r="BA3" s="32"/>
      <c r="BB3" s="32"/>
      <c r="BC3" s="32"/>
      <c r="BD3" s="32"/>
      <c r="BE3" s="267"/>
      <c r="BF3" s="25"/>
      <c r="BG3" s="26"/>
      <c r="BH3" s="26"/>
      <c r="BI3" s="26"/>
      <c r="BJ3" s="205"/>
      <c r="BK3" s="159" t="s">
        <v>65</v>
      </c>
    </row>
    <row r="4" s="311" customFormat="1" ht="25.5" customHeight="1" spans="1:63">
      <c r="A4" s="215"/>
      <c r="B4" s="183"/>
      <c r="C4" s="96"/>
      <c r="D4" s="293"/>
      <c r="E4" s="293"/>
      <c r="F4" s="217"/>
      <c r="G4" s="217"/>
      <c r="H4" s="217"/>
      <c r="I4" s="218"/>
      <c r="J4" s="829">
        <v>800000</v>
      </c>
      <c r="K4" s="95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277"/>
      <c r="Z4" s="277"/>
      <c r="AA4" s="277"/>
      <c r="AB4" s="277"/>
      <c r="AC4" s="277"/>
      <c r="AD4" s="277"/>
      <c r="AE4" s="277"/>
      <c r="AF4" s="277"/>
      <c r="AG4" s="277"/>
      <c r="AH4" s="277"/>
      <c r="AI4" s="277"/>
      <c r="AJ4" s="277"/>
      <c r="AK4" s="277"/>
      <c r="AL4" s="277"/>
      <c r="AM4" s="277"/>
      <c r="AN4" s="277"/>
      <c r="AO4" s="277"/>
      <c r="AP4" s="277"/>
      <c r="AQ4" s="277"/>
      <c r="AR4" s="277"/>
      <c r="AS4" s="277"/>
      <c r="AT4" s="277"/>
      <c r="AU4" s="277"/>
      <c r="AV4" s="277"/>
      <c r="AW4" s="277"/>
      <c r="AX4" s="779"/>
      <c r="AY4" s="96"/>
      <c r="AZ4" s="183"/>
      <c r="BA4" s="183"/>
      <c r="BB4" s="183"/>
      <c r="BC4" s="183"/>
      <c r="BD4" s="729"/>
      <c r="BE4" s="183"/>
      <c r="BF4" s="280"/>
      <c r="BG4" s="279"/>
      <c r="BH4" s="279"/>
      <c r="BI4" s="279"/>
      <c r="BJ4" s="224"/>
      <c r="BK4" s="159"/>
    </row>
    <row r="5" s="311" customFormat="1" ht="25.5" customHeight="1" spans="1:63">
      <c r="A5" s="215"/>
      <c r="B5" s="183"/>
      <c r="C5" s="96"/>
      <c r="D5" s="293"/>
      <c r="E5" s="293"/>
      <c r="F5" s="217"/>
      <c r="G5" s="217"/>
      <c r="H5" s="217"/>
      <c r="I5" s="218"/>
      <c r="J5" s="829"/>
      <c r="K5" s="95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  <c r="AA5" s="277"/>
      <c r="AB5" s="277"/>
      <c r="AC5" s="277"/>
      <c r="AD5" s="277"/>
      <c r="AE5" s="277"/>
      <c r="AF5" s="277"/>
      <c r="AG5" s="277"/>
      <c r="AH5" s="277"/>
      <c r="AI5" s="277"/>
      <c r="AJ5" s="277"/>
      <c r="AK5" s="277"/>
      <c r="AL5" s="277"/>
      <c r="AM5" s="277"/>
      <c r="AN5" s="277"/>
      <c r="AO5" s="277"/>
      <c r="AP5" s="277"/>
      <c r="AQ5" s="277"/>
      <c r="AR5" s="277"/>
      <c r="AS5" s="277"/>
      <c r="AT5" s="277"/>
      <c r="AU5" s="277"/>
      <c r="AV5" s="277"/>
      <c r="AW5" s="277"/>
      <c r="AX5" s="779"/>
      <c r="AY5" s="96"/>
      <c r="AZ5" s="183"/>
      <c r="BA5" s="183"/>
      <c r="BB5" s="183"/>
      <c r="BC5" s="183"/>
      <c r="BD5" s="729"/>
      <c r="BE5" s="183"/>
      <c r="BF5" s="280"/>
      <c r="BG5" s="279"/>
      <c r="BH5" s="279"/>
      <c r="BI5" s="279"/>
      <c r="BJ5" s="224"/>
      <c r="BK5" s="159"/>
    </row>
    <row r="6" s="3" customFormat="1" ht="17.1" customHeight="1" spans="1:63">
      <c r="A6" s="93" t="s">
        <v>66</v>
      </c>
      <c r="B6" s="94"/>
      <c r="C6" s="94"/>
      <c r="D6" s="94"/>
      <c r="E6" s="94"/>
      <c r="F6" s="94"/>
      <c r="G6" s="94"/>
      <c r="H6" s="94"/>
      <c r="I6" s="94"/>
      <c r="J6" s="829">
        <f t="shared" ref="J6:Z6" si="0">SUM(J4:J5)</f>
        <v>800000</v>
      </c>
      <c r="K6" s="95"/>
      <c r="L6" s="95">
        <f t="shared" si="0"/>
        <v>0</v>
      </c>
      <c r="M6" s="95">
        <f t="shared" si="0"/>
        <v>0</v>
      </c>
      <c r="N6" s="95">
        <f t="shared" si="0"/>
        <v>0</v>
      </c>
      <c r="O6" s="95">
        <f t="shared" si="0"/>
        <v>0</v>
      </c>
      <c r="P6" s="95">
        <f t="shared" si="0"/>
        <v>0</v>
      </c>
      <c r="Q6" s="95">
        <f t="shared" si="0"/>
        <v>0</v>
      </c>
      <c r="R6" s="95">
        <f t="shared" si="0"/>
        <v>0</v>
      </c>
      <c r="S6" s="95">
        <f t="shared" si="0"/>
        <v>0</v>
      </c>
      <c r="T6" s="95">
        <f t="shared" si="0"/>
        <v>0</v>
      </c>
      <c r="U6" s="95">
        <f t="shared" si="0"/>
        <v>0</v>
      </c>
      <c r="V6" s="95">
        <f t="shared" si="0"/>
        <v>0</v>
      </c>
      <c r="W6" s="95">
        <f t="shared" si="0"/>
        <v>0</v>
      </c>
      <c r="X6" s="95">
        <f t="shared" si="0"/>
        <v>0</v>
      </c>
      <c r="Y6" s="95">
        <f t="shared" si="0"/>
        <v>0</v>
      </c>
      <c r="Z6" s="95">
        <f t="shared" si="0"/>
        <v>0</v>
      </c>
      <c r="AA6" s="95">
        <f>SUM($AA4:$AA5)</f>
        <v>0</v>
      </c>
      <c r="AB6" s="95">
        <f t="shared" ref="AB6:AW6" si="1">SUM(AB4:AB5)</f>
        <v>0</v>
      </c>
      <c r="AC6" s="95">
        <f t="shared" si="1"/>
        <v>0</v>
      </c>
      <c r="AD6" s="95">
        <f t="shared" si="1"/>
        <v>0</v>
      </c>
      <c r="AE6" s="95">
        <f t="shared" si="1"/>
        <v>0</v>
      </c>
      <c r="AF6" s="95">
        <f t="shared" si="1"/>
        <v>0</v>
      </c>
      <c r="AG6" s="95">
        <f t="shared" si="1"/>
        <v>0</v>
      </c>
      <c r="AH6" s="95">
        <f t="shared" si="1"/>
        <v>0</v>
      </c>
      <c r="AI6" s="95">
        <f t="shared" si="1"/>
        <v>0</v>
      </c>
      <c r="AJ6" s="95">
        <f t="shared" si="1"/>
        <v>0</v>
      </c>
      <c r="AK6" s="95">
        <f t="shared" si="1"/>
        <v>0</v>
      </c>
      <c r="AL6" s="95">
        <f t="shared" si="1"/>
        <v>0</v>
      </c>
      <c r="AM6" s="95">
        <f t="shared" si="1"/>
        <v>0</v>
      </c>
      <c r="AN6" s="95">
        <f t="shared" si="1"/>
        <v>0</v>
      </c>
      <c r="AO6" s="95">
        <f t="shared" si="1"/>
        <v>0</v>
      </c>
      <c r="AP6" s="95">
        <f t="shared" si="1"/>
        <v>0</v>
      </c>
      <c r="AQ6" s="95">
        <f t="shared" si="1"/>
        <v>0</v>
      </c>
      <c r="AR6" s="95">
        <f t="shared" si="1"/>
        <v>0</v>
      </c>
      <c r="AS6" s="95">
        <f t="shared" si="1"/>
        <v>0</v>
      </c>
      <c r="AT6" s="95">
        <f t="shared" si="1"/>
        <v>0</v>
      </c>
      <c r="AU6" s="95">
        <f t="shared" si="1"/>
        <v>0</v>
      </c>
      <c r="AV6" s="95">
        <f t="shared" si="1"/>
        <v>0</v>
      </c>
      <c r="AW6" s="95">
        <f t="shared" si="1"/>
        <v>0</v>
      </c>
      <c r="AX6" s="183"/>
      <c r="AY6" s="96"/>
      <c r="AZ6" s="96"/>
      <c r="BA6" s="96"/>
      <c r="BB6" s="96"/>
      <c r="BC6" s="96"/>
      <c r="BD6" s="183"/>
      <c r="BE6" s="96"/>
      <c r="BF6" s="97"/>
      <c r="BG6" s="97"/>
      <c r="BH6" s="97"/>
      <c r="BI6" s="97"/>
      <c r="BJ6" s="239"/>
    </row>
    <row r="7" s="4" customFormat="1" ht="17.1" customHeight="1" spans="1:63">
      <c r="A7" s="99"/>
      <c r="B7" s="100"/>
      <c r="C7" s="100"/>
      <c r="D7" s="100"/>
      <c r="E7" s="100"/>
      <c r="F7" s="100"/>
      <c r="G7" s="100"/>
      <c r="H7" s="100"/>
      <c r="I7" s="100"/>
      <c r="J7" s="1282">
        <f>SUM(L7:AW7)</f>
        <v>0</v>
      </c>
      <c r="K7" s="100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963"/>
      <c r="AY7" s="100"/>
      <c r="AZ7" s="100"/>
      <c r="BA7" s="100"/>
      <c r="BB7" s="100"/>
      <c r="BC7" s="100"/>
      <c r="BD7" s="963"/>
      <c r="BE7" s="100"/>
      <c r="BF7" s="101"/>
      <c r="BG7" s="101"/>
      <c r="BH7" s="101"/>
      <c r="BI7" s="101"/>
      <c r="BJ7" s="240"/>
    </row>
    <row r="8" s="4" customFormat="1" ht="17.1" customHeight="1" spans="1:63">
      <c r="A8" s="241" t="s">
        <v>67</v>
      </c>
      <c r="B8" s="242"/>
      <c r="C8" s="242"/>
      <c r="D8" s="242"/>
      <c r="E8" s="242"/>
      <c r="F8" s="242"/>
      <c r="G8" s="242"/>
      <c r="H8" s="242"/>
      <c r="I8" s="243"/>
      <c r="J8" s="838">
        <f>SUM(L8:AW8)</f>
        <v>0</v>
      </c>
      <c r="K8" s="245"/>
      <c r="L8" s="106">
        <f t="shared" ref="L8:AW8" si="2">L7-L6</f>
        <v>0</v>
      </c>
      <c r="M8" s="106">
        <f t="shared" si="2"/>
        <v>0</v>
      </c>
      <c r="N8" s="106">
        <f t="shared" si="2"/>
        <v>0</v>
      </c>
      <c r="O8" s="106">
        <f t="shared" si="2"/>
        <v>0</v>
      </c>
      <c r="P8" s="106">
        <f t="shared" si="2"/>
        <v>0</v>
      </c>
      <c r="Q8" s="106">
        <f t="shared" si="2"/>
        <v>0</v>
      </c>
      <c r="R8" s="106">
        <f t="shared" si="2"/>
        <v>0</v>
      </c>
      <c r="S8" s="106">
        <f t="shared" si="2"/>
        <v>0</v>
      </c>
      <c r="T8" s="106">
        <f t="shared" si="2"/>
        <v>0</v>
      </c>
      <c r="U8" s="106">
        <f t="shared" si="2"/>
        <v>0</v>
      </c>
      <c r="V8" s="106">
        <f t="shared" si="2"/>
        <v>0</v>
      </c>
      <c r="W8" s="106">
        <f t="shared" si="2"/>
        <v>0</v>
      </c>
      <c r="X8" s="106">
        <f t="shared" si="2"/>
        <v>0</v>
      </c>
      <c r="Y8" s="106">
        <f t="shared" si="2"/>
        <v>0</v>
      </c>
      <c r="Z8" s="106">
        <f t="shared" si="2"/>
        <v>0</v>
      </c>
      <c r="AA8" s="106">
        <f t="shared" si="2"/>
        <v>0</v>
      </c>
      <c r="AB8" s="106">
        <f t="shared" si="2"/>
        <v>0</v>
      </c>
      <c r="AC8" s="106">
        <f t="shared" si="2"/>
        <v>0</v>
      </c>
      <c r="AD8" s="106">
        <f t="shared" si="2"/>
        <v>0</v>
      </c>
      <c r="AE8" s="106">
        <f t="shared" si="2"/>
        <v>0</v>
      </c>
      <c r="AF8" s="106">
        <f t="shared" si="2"/>
        <v>0</v>
      </c>
      <c r="AG8" s="106">
        <f t="shared" si="2"/>
        <v>0</v>
      </c>
      <c r="AH8" s="106">
        <f t="shared" si="2"/>
        <v>0</v>
      </c>
      <c r="AI8" s="106">
        <f t="shared" si="2"/>
        <v>0</v>
      </c>
      <c r="AJ8" s="106">
        <f t="shared" si="2"/>
        <v>0</v>
      </c>
      <c r="AK8" s="106">
        <f t="shared" si="2"/>
        <v>0</v>
      </c>
      <c r="AL8" s="106">
        <f t="shared" si="2"/>
        <v>0</v>
      </c>
      <c r="AM8" s="106">
        <f t="shared" si="2"/>
        <v>0</v>
      </c>
      <c r="AN8" s="106">
        <f t="shared" si="2"/>
        <v>0</v>
      </c>
      <c r="AO8" s="106">
        <f t="shared" si="2"/>
        <v>0</v>
      </c>
      <c r="AP8" s="106">
        <f t="shared" si="2"/>
        <v>0</v>
      </c>
      <c r="AQ8" s="106">
        <f t="shared" si="2"/>
        <v>0</v>
      </c>
      <c r="AR8" s="106">
        <f t="shared" si="2"/>
        <v>0</v>
      </c>
      <c r="AS8" s="106">
        <f t="shared" si="2"/>
        <v>0</v>
      </c>
      <c r="AT8" s="106">
        <f t="shared" si="2"/>
        <v>0</v>
      </c>
      <c r="AU8" s="106">
        <f t="shared" si="2"/>
        <v>0</v>
      </c>
      <c r="AV8" s="106">
        <f t="shared" si="2"/>
        <v>0</v>
      </c>
      <c r="AW8" s="106">
        <f t="shared" si="2"/>
        <v>0</v>
      </c>
      <c r="AX8" s="839"/>
      <c r="AY8" s="107"/>
      <c r="AZ8" s="107"/>
      <c r="BA8" s="107"/>
      <c r="BB8" s="107"/>
      <c r="BC8" s="107"/>
      <c r="BD8" s="839"/>
      <c r="BE8" s="107"/>
      <c r="BF8" s="108"/>
      <c r="BG8" s="108"/>
      <c r="BH8" s="108"/>
      <c r="BI8" s="108"/>
      <c r="BJ8" s="246"/>
    </row>
    <row r="9" spans="1:63">
      <c r="B9" s="110" t="s">
        <v>68</v>
      </c>
      <c r="C9" s="110"/>
      <c r="D9" s="111"/>
      <c r="E9" s="111"/>
      <c r="F9" s="111"/>
      <c r="G9" s="111"/>
      <c r="H9" s="111"/>
      <c r="I9" s="111"/>
    </row>
    <row r="12" spans="1:63">
      <c r="B12" s="286"/>
    </row>
    <row r="13" spans="1:63">
      <c r="B13" s="286"/>
    </row>
    <row r="14" spans="1:63">
      <c r="B14" s="286"/>
    </row>
    <row r="15" spans="1:63">
      <c r="B15" s="286"/>
    </row>
  </sheetData>
  <autoFilter xmlns:etc="http://www.wps.cn/officeDocument/2017/etCustomData" ref="A2:BK4" etc:filterBottomFollowUsedRange="0">
    <extLst/>
  </autoFilter>
  <mergeCells count="31">
    <mergeCell ref="A1:K1"/>
    <mergeCell ref="BG1:BH1"/>
    <mergeCell ref="BI1:BJ1"/>
    <mergeCell ref="L2:AW2"/>
    <mergeCell ref="A6:I6"/>
    <mergeCell ref="A7:I7"/>
    <mergeCell ref="A8:I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</mergeCells>
  <conditionalFormatting sqref="L8:AW8">
    <cfRule type="cellIs" dxfId="0" priority="1" operator="lessThan">
      <formula>0</formula>
    </cfRule>
  </conditionalFormatting>
  <printOptions horizontalCentered="1"/>
  <pageMargins left="0" right="0" top="0.15748031496063" bottom="0.15748031496063" header="0.31496062992126" footer="0.31496062992126"/>
  <pageSetup paperSize="9" scale="3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C000"/>
    <pageSetUpPr fitToPage="1"/>
  </sheetPr>
  <dimension ref="A1:Z16"/>
  <sheetViews>
    <sheetView view="pageBreakPreview" zoomScaleNormal="100" workbookViewId="0">
      <pane xSplit="4" ySplit="3" topLeftCell="E4" activePane="bottomRight" state="frozen"/>
      <selection/>
      <selection pane="topRight"/>
      <selection pane="bottomLeft"/>
      <selection pane="bottomRight" activeCell="V25" sqref="V25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5" width="12.125" customWidth="1"/>
    <col min="6" max="7" width="6.5" customWidth="1"/>
    <col min="8" max="8" width="5.625" customWidth="1"/>
    <col min="9" max="9" width="5.125" customWidth="1"/>
    <col min="10" max="10" width="7.125" customWidth="1"/>
    <col min="11" max="11" width="4.625" customWidth="1"/>
    <col min="12" max="12" width="8" customWidth="1"/>
    <col min="13" max="13" width="5.625" customWidth="1"/>
    <col min="14" max="15" width="5.375" customWidth="1"/>
    <col min="16" max="17" width="5.125" customWidth="1"/>
    <col min="18" max="18" width="6.125" customWidth="1"/>
    <col min="19" max="19" width="8.875" customWidth="1"/>
    <col min="20" max="20" width="19.375" customWidth="1"/>
    <col min="21" max="21" width="7.625" style="114" customWidth="1"/>
    <col min="22" max="22" width="8.5" style="113" customWidth="1"/>
    <col min="23" max="23" width="6.375" style="193" customWidth="1"/>
    <col min="24" max="24" width="6.625" style="193" customWidth="1"/>
    <col min="25" max="25" width="19.125" customWidth="1"/>
    <col min="26" max="26" width="19" customWidth="1"/>
  </cols>
  <sheetData>
    <row r="1" ht="36.75" customHeight="1" spans="1:26">
      <c r="A1" s="195" t="s">
        <v>69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7" t="s">
        <v>1</v>
      </c>
      <c r="V1" s="198"/>
      <c r="W1" s="199"/>
      <c r="X1" s="200">
        <f ca="1">TODAY()</f>
        <v>46277</v>
      </c>
      <c r="Y1" s="201"/>
    </row>
    <row r="2" s="190" customFormat="1" ht="21.95" customHeight="1" spans="1:26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030" t="s">
        <v>70</v>
      </c>
      <c r="M2" s="1031"/>
      <c r="N2" s="1032"/>
      <c r="O2" s="21" t="s">
        <v>15</v>
      </c>
      <c r="P2" s="21" t="s">
        <v>71</v>
      </c>
      <c r="Q2" s="22" t="s">
        <v>72</v>
      </c>
      <c r="R2" s="21" t="s">
        <v>19</v>
      </c>
      <c r="S2" s="22" t="s">
        <v>20</v>
      </c>
      <c r="T2" s="24" t="s">
        <v>21</v>
      </c>
      <c r="U2" s="1207" t="s">
        <v>22</v>
      </c>
      <c r="V2" s="26" t="s">
        <v>23</v>
      </c>
      <c r="W2" s="204" t="s">
        <v>24</v>
      </c>
      <c r="X2" s="204" t="s">
        <v>25</v>
      </c>
      <c r="Y2" s="27" t="s">
        <v>26</v>
      </c>
    </row>
    <row r="3" s="190" customFormat="1" ht="24.95" customHeight="1" spans="1:26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1033" t="s">
        <v>73</v>
      </c>
      <c r="M3" s="1033" t="s">
        <v>74</v>
      </c>
      <c r="N3" s="1033" t="s">
        <v>75</v>
      </c>
      <c r="O3" s="21"/>
      <c r="P3" s="21"/>
      <c r="Q3" s="32"/>
      <c r="R3" s="21"/>
      <c r="S3" s="32"/>
      <c r="T3" s="24"/>
      <c r="U3" s="1207"/>
      <c r="V3" s="26"/>
      <c r="W3" s="204"/>
      <c r="X3" s="204"/>
      <c r="Y3" s="27"/>
    </row>
    <row r="4" s="3" customFormat="1" ht="27" hidden="1" customHeight="1" spans="1:26">
      <c r="A4" s="215">
        <f>ROW()-3</f>
        <v>1</v>
      </c>
      <c r="B4" s="48" t="s">
        <v>76</v>
      </c>
      <c r="C4" s="49" t="s">
        <v>77</v>
      </c>
      <c r="D4" s="51" t="s">
        <v>78</v>
      </c>
      <c r="E4" s="51" t="s">
        <v>79</v>
      </c>
      <c r="F4" s="52">
        <v>46083</v>
      </c>
      <c r="G4" s="52">
        <v>46134</v>
      </c>
      <c r="H4" s="52">
        <v>46134</v>
      </c>
      <c r="I4" s="53">
        <v>46101</v>
      </c>
      <c r="J4" s="175">
        <v>320</v>
      </c>
      <c r="K4" s="175">
        <v>8</v>
      </c>
      <c r="L4" s="49" t="s">
        <v>80</v>
      </c>
      <c r="M4" s="49" t="s">
        <v>81</v>
      </c>
      <c r="N4" s="49" t="s">
        <v>82</v>
      </c>
      <c r="O4" s="49" t="s">
        <v>81</v>
      </c>
      <c r="P4" s="48" t="s">
        <v>83</v>
      </c>
      <c r="Q4" s="48" t="s">
        <v>84</v>
      </c>
      <c r="R4" s="48" t="s">
        <v>83</v>
      </c>
      <c r="S4" s="49" t="s">
        <v>80</v>
      </c>
      <c r="T4" s="48" t="s">
        <v>85</v>
      </c>
      <c r="U4" s="176">
        <v>46134</v>
      </c>
      <c r="V4" s="211">
        <v>46122</v>
      </c>
      <c r="W4" s="308"/>
      <c r="X4" s="176">
        <v>46149</v>
      </c>
      <c r="Y4" s="177">
        <v>40559085</v>
      </c>
      <c r="Z4" s="3" t="s">
        <v>86</v>
      </c>
    </row>
    <row r="5" s="3" customFormat="1" ht="27" hidden="1" customHeight="1" spans="1:26">
      <c r="A5" s="215">
        <f>ROW()-3</f>
        <v>2</v>
      </c>
      <c r="B5" s="48" t="s">
        <v>76</v>
      </c>
      <c r="C5" s="49" t="s">
        <v>77</v>
      </c>
      <c r="D5" s="51" t="s">
        <v>87</v>
      </c>
      <c r="E5" s="51" t="s">
        <v>88</v>
      </c>
      <c r="F5" s="52">
        <v>46083</v>
      </c>
      <c r="G5" s="52">
        <v>46134</v>
      </c>
      <c r="H5" s="52">
        <v>46134</v>
      </c>
      <c r="I5" s="53">
        <v>46101</v>
      </c>
      <c r="J5" s="175">
        <v>80</v>
      </c>
      <c r="K5" s="175">
        <v>8</v>
      </c>
      <c r="L5" s="49" t="s">
        <v>80</v>
      </c>
      <c r="M5" s="49" t="s">
        <v>81</v>
      </c>
      <c r="N5" s="49" t="s">
        <v>82</v>
      </c>
      <c r="O5" s="49" t="s">
        <v>81</v>
      </c>
      <c r="P5" s="48" t="s">
        <v>83</v>
      </c>
      <c r="Q5" s="48" t="s">
        <v>84</v>
      </c>
      <c r="R5" s="48" t="s">
        <v>83</v>
      </c>
      <c r="S5" s="49" t="s">
        <v>80</v>
      </c>
      <c r="T5" s="48" t="s">
        <v>85</v>
      </c>
      <c r="U5" s="176">
        <v>46134</v>
      </c>
      <c r="V5" s="211">
        <v>46122</v>
      </c>
      <c r="W5" s="308"/>
      <c r="X5" s="176">
        <v>46149</v>
      </c>
      <c r="Y5" s="177">
        <v>40559159</v>
      </c>
      <c r="Z5" s="3" t="s">
        <v>86</v>
      </c>
    </row>
    <row r="6" s="3" customFormat="1" ht="27" customHeight="1" spans="1:26">
      <c r="A6" s="215"/>
      <c r="B6" s="183"/>
      <c r="C6" s="96"/>
      <c r="D6" s="293"/>
      <c r="E6" s="293"/>
      <c r="F6" s="217"/>
      <c r="G6" s="217"/>
      <c r="H6" s="217"/>
      <c r="I6" s="218"/>
      <c r="J6" s="95"/>
      <c r="K6" s="95"/>
      <c r="L6" s="219"/>
      <c r="M6" s="219"/>
      <c r="N6" s="219"/>
      <c r="O6" s="96"/>
      <c r="P6" s="183"/>
      <c r="Q6" s="183"/>
      <c r="R6" s="297"/>
      <c r="S6" s="183"/>
      <c r="T6" s="183"/>
      <c r="U6" s="280"/>
      <c r="V6" s="321"/>
      <c r="W6" s="222"/>
      <c r="X6" s="97"/>
      <c r="Y6" s="178"/>
    </row>
    <row r="7" s="3" customFormat="1" ht="27" customHeight="1" spans="1:26">
      <c r="A7" s="215"/>
      <c r="B7" s="183"/>
      <c r="C7" s="96"/>
      <c r="D7" s="293"/>
      <c r="E7" s="293"/>
      <c r="F7" s="217"/>
      <c r="G7" s="217"/>
      <c r="H7" s="217"/>
      <c r="I7" s="218"/>
      <c r="J7" s="95"/>
      <c r="K7" s="95"/>
      <c r="L7" s="219"/>
      <c r="M7" s="219"/>
      <c r="N7" s="219"/>
      <c r="O7" s="96"/>
      <c r="P7" s="183"/>
      <c r="Q7" s="183"/>
      <c r="R7" s="297"/>
      <c r="S7" s="297"/>
      <c r="T7" s="183"/>
      <c r="U7" s="280"/>
      <c r="V7" s="321"/>
      <c r="W7" s="222"/>
      <c r="X7" s="97"/>
      <c r="Y7" s="178"/>
    </row>
    <row r="8" s="3" customFormat="1" ht="27" customHeight="1" spans="1:26">
      <c r="A8" s="215"/>
      <c r="B8" s="183"/>
      <c r="C8" s="96"/>
      <c r="D8" s="293"/>
      <c r="E8" s="293"/>
      <c r="F8" s="217"/>
      <c r="G8" s="217"/>
      <c r="H8" s="217"/>
      <c r="I8" s="218"/>
      <c r="J8" s="95"/>
      <c r="K8" s="95"/>
      <c r="L8" s="219"/>
      <c r="M8" s="219"/>
      <c r="N8" s="219"/>
      <c r="O8" s="96"/>
      <c r="P8" s="183"/>
      <c r="Q8" s="183"/>
      <c r="R8" s="297"/>
      <c r="S8" s="96"/>
      <c r="T8" s="183"/>
      <c r="U8" s="280"/>
      <c r="V8" s="321"/>
      <c r="W8" s="222"/>
      <c r="X8" s="97"/>
      <c r="Y8" s="178"/>
    </row>
    <row r="9" s="3" customFormat="1" ht="27" customHeight="1" spans="1:26">
      <c r="A9" s="215"/>
      <c r="B9" s="183"/>
      <c r="C9" s="96"/>
      <c r="D9" s="293"/>
      <c r="E9" s="293"/>
      <c r="F9" s="217"/>
      <c r="G9" s="217"/>
      <c r="H9" s="217"/>
      <c r="I9" s="218"/>
      <c r="J9" s="95"/>
      <c r="K9" s="95"/>
      <c r="L9" s="219"/>
      <c r="M9" s="219"/>
      <c r="N9" s="219"/>
      <c r="O9" s="96"/>
      <c r="P9" s="297"/>
      <c r="Q9" s="297"/>
      <c r="R9" s="297"/>
      <c r="S9" s="96"/>
      <c r="T9" s="183"/>
      <c r="U9" s="280"/>
      <c r="V9" s="279"/>
      <c r="W9" s="222"/>
      <c r="X9" s="97"/>
      <c r="Y9" s="178"/>
    </row>
    <row r="10" s="3" customFormat="1" ht="17.1" customHeight="1" spans="1:26">
      <c r="A10" s="93" t="s">
        <v>66</v>
      </c>
      <c r="B10" s="94"/>
      <c r="C10" s="94"/>
      <c r="D10" s="94"/>
      <c r="E10" s="94"/>
      <c r="F10" s="94"/>
      <c r="G10" s="94"/>
      <c r="H10" s="94"/>
      <c r="I10" s="94"/>
      <c r="J10" s="95">
        <f>SUM(J4:J9)</f>
        <v>400</v>
      </c>
      <c r="K10" s="95"/>
      <c r="L10" s="95"/>
      <c r="M10" s="95"/>
      <c r="N10" s="95"/>
      <c r="O10" s="96"/>
      <c r="P10" s="96"/>
      <c r="Q10" s="96"/>
      <c r="R10" s="96"/>
      <c r="S10" s="96"/>
      <c r="T10" s="96"/>
      <c r="U10" s="97"/>
      <c r="V10" s="97"/>
      <c r="W10" s="97"/>
      <c r="X10" s="97"/>
      <c r="Y10" s="98"/>
    </row>
    <row r="11" s="4" customFormat="1" ht="17.1" customHeight="1" spans="1:26">
      <c r="A11" s="99"/>
      <c r="B11" s="100"/>
      <c r="C11" s="100"/>
      <c r="D11" s="100"/>
      <c r="E11" s="100"/>
      <c r="F11" s="100"/>
      <c r="G11" s="100"/>
      <c r="H11" s="100"/>
      <c r="I11" s="100"/>
      <c r="J11" s="100">
        <f>664</f>
        <v>664</v>
      </c>
      <c r="K11" s="100"/>
      <c r="L11" s="147"/>
      <c r="M11" s="147"/>
      <c r="N11" s="147"/>
      <c r="O11" s="100"/>
      <c r="P11" s="100"/>
      <c r="Q11" s="100"/>
      <c r="R11" s="100"/>
      <c r="S11" s="100"/>
      <c r="T11" s="100"/>
      <c r="U11" s="101"/>
      <c r="V11" s="101"/>
      <c r="W11" s="100"/>
      <c r="X11" s="100"/>
      <c r="Y11" s="102"/>
    </row>
    <row r="12" s="4" customFormat="1" ht="19.5" customHeight="1" spans="1:26">
      <c r="A12" s="241" t="s">
        <v>67</v>
      </c>
      <c r="B12" s="242"/>
      <c r="C12" s="242"/>
      <c r="D12" s="242"/>
      <c r="E12" s="242"/>
      <c r="F12" s="242"/>
      <c r="G12" s="242"/>
      <c r="H12" s="242"/>
      <c r="I12" s="243"/>
      <c r="J12" s="244">
        <f t="shared" ref="J12:P12" si="0">J11-J10</f>
        <v>264</v>
      </c>
      <c r="K12" s="245"/>
      <c r="L12" s="106">
        <f t="shared" si="0"/>
        <v>0</v>
      </c>
      <c r="M12" s="106"/>
      <c r="N12" s="106"/>
      <c r="O12" s="106">
        <f t="shared" si="0"/>
        <v>0</v>
      </c>
      <c r="P12" s="106">
        <f t="shared" si="0"/>
        <v>0</v>
      </c>
      <c r="Q12" s="106"/>
      <c r="R12" s="106">
        <f>R11-R10</f>
        <v>0</v>
      </c>
      <c r="S12" s="106">
        <f>S11-S10</f>
        <v>0</v>
      </c>
      <c r="T12" s="106">
        <f>T11-T10</f>
        <v>0</v>
      </c>
      <c r="U12" s="108"/>
      <c r="V12" s="108"/>
      <c r="W12" s="107"/>
      <c r="X12" s="107"/>
      <c r="Y12" s="109"/>
    </row>
    <row r="13" spans="1:26">
      <c r="B13" s="110" t="s">
        <v>68</v>
      </c>
      <c r="C13" s="110"/>
      <c r="D13" s="111"/>
      <c r="E13" s="111"/>
      <c r="F13" s="111"/>
      <c r="G13" s="111"/>
      <c r="H13" s="111"/>
      <c r="I13" s="111"/>
    </row>
    <row r="15" spans="1:26">
      <c r="I15" t="s">
        <v>89</v>
      </c>
      <c r="J15">
        <f>3000-2336</f>
        <v>664</v>
      </c>
    </row>
    <row r="16" spans="1:26">
      <c r="I16" t="s">
        <v>90</v>
      </c>
      <c r="J16">
        <f>3000-2336</f>
        <v>664</v>
      </c>
    </row>
  </sheetData>
  <autoFilter xmlns:etc="http://www.wps.cn/officeDocument/2017/etCustomData" ref="A3:Z13" etc:filterBottomFollowUsedRange="0">
    <filterColumn colId="23">
      <filters blank="1"/>
    </filterColumn>
    <extLst/>
  </autoFilter>
  <mergeCells count="29">
    <mergeCell ref="A1:T1"/>
    <mergeCell ref="U1:W1"/>
    <mergeCell ref="X1:Y1"/>
    <mergeCell ref="L2:N2"/>
    <mergeCell ref="A10:I10"/>
    <mergeCell ref="A11:I11"/>
    <mergeCell ref="A12:I1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</mergeCells>
  <conditionalFormatting sqref="L12:T12">
    <cfRule type="cellIs" dxfId="0" priority="1" operator="lessThan">
      <formula>0</formula>
    </cfRule>
  </conditionalFormatting>
  <printOptions horizontalCentered="1"/>
  <pageMargins left="0.31496062992126" right="0.31496062992126" top="0.551181102362205" bottom="0.551181102362205" header="0.31496062992126" footer="0.31496062992126"/>
  <pageSetup paperSize="9" scale="67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C000"/>
    <pageSetUpPr fitToPage="1"/>
  </sheetPr>
  <dimension ref="A1:AF28"/>
  <sheetViews>
    <sheetView view="pageBreakPreview" zoomScaleNormal="100" workbookViewId="0">
      <pane xSplit="11" ySplit="3" topLeftCell="L13" activePane="bottomRight" state="frozen"/>
      <selection/>
      <selection pane="topRight"/>
      <selection pane="bottomLeft"/>
      <selection pane="bottomRight" activeCell="N29" sqref="N29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5" width="11.625" customWidth="1"/>
    <col min="6" max="7" width="6.5" customWidth="1"/>
    <col min="8" max="9" width="5.875" customWidth="1"/>
    <col min="10" max="10" width="8.625" style="925" customWidth="1"/>
    <col min="11" max="11" width="5.125" customWidth="1"/>
    <col min="12" max="17" width="6.5" customWidth="1"/>
    <col min="18" max="18" width="8.125" customWidth="1"/>
    <col min="19" max="19" width="5.625" customWidth="1"/>
    <col min="20" max="20" width="5.125" customWidth="1"/>
    <col min="21" max="21" width="5.375" customWidth="1"/>
    <col min="22" max="22" width="5.875" customWidth="1"/>
    <col min="23" max="23" width="5.625" customWidth="1"/>
    <col min="24" max="24" width="6.125" customWidth="1"/>
    <col min="25" max="25" width="8.125" customWidth="1"/>
    <col min="26" max="26" width="19.875" customWidth="1"/>
    <col min="27" max="27" width="9.375" customWidth="1"/>
    <col min="28" max="28" width="8.5" style="193" customWidth="1"/>
    <col min="29" max="29" width="9.375" style="193" customWidth="1"/>
    <col min="30" max="30" width="7.125" style="193" customWidth="1"/>
    <col min="31" max="31" width="15.625" customWidth="1"/>
    <col min="32" max="32" width="19" customWidth="1"/>
  </cols>
  <sheetData>
    <row r="1" ht="36.75" customHeight="1" spans="1:32">
      <c r="A1" s="449" t="s">
        <v>91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2" t="s">
        <v>1</v>
      </c>
      <c r="AB1" s="1260"/>
      <c r="AC1" s="453"/>
      <c r="AD1" s="454">
        <f ca="1">TODAY()</f>
        <v>46277</v>
      </c>
      <c r="AE1" s="1261"/>
    </row>
    <row r="2" s="190" customFormat="1" ht="21.95" customHeight="1" spans="1:32">
      <c r="A2" s="1096" t="s">
        <v>2</v>
      </c>
      <c r="B2" s="458" t="s">
        <v>3</v>
      </c>
      <c r="C2" s="458" t="s">
        <v>4</v>
      </c>
      <c r="D2" s="458" t="s">
        <v>5</v>
      </c>
      <c r="E2" s="1262" t="s">
        <v>6</v>
      </c>
      <c r="F2" s="458" t="s">
        <v>7</v>
      </c>
      <c r="G2" s="458" t="s">
        <v>8</v>
      </c>
      <c r="H2" s="458" t="s">
        <v>9</v>
      </c>
      <c r="I2" s="458" t="s">
        <v>10</v>
      </c>
      <c r="J2" s="1263" t="s">
        <v>11</v>
      </c>
      <c r="K2" s="458" t="s">
        <v>12</v>
      </c>
      <c r="L2" s="1264" t="s">
        <v>13</v>
      </c>
      <c r="M2" s="1264"/>
      <c r="N2" s="1264"/>
      <c r="O2" s="1264"/>
      <c r="P2" s="1264"/>
      <c r="Q2" s="1264"/>
      <c r="R2" s="461" t="s">
        <v>70</v>
      </c>
      <c r="S2" s="461"/>
      <c r="T2" s="461"/>
      <c r="U2" s="462" t="s">
        <v>15</v>
      </c>
      <c r="V2" s="462" t="s">
        <v>92</v>
      </c>
      <c r="W2" s="462" t="s">
        <v>93</v>
      </c>
      <c r="X2" s="462" t="s">
        <v>19</v>
      </c>
      <c r="Y2" s="462" t="s">
        <v>20</v>
      </c>
      <c r="Z2" s="1265" t="s">
        <v>21</v>
      </c>
      <c r="AA2" s="461" t="s">
        <v>22</v>
      </c>
      <c r="AB2" s="466" t="s">
        <v>23</v>
      </c>
      <c r="AC2" s="466" t="s">
        <v>24</v>
      </c>
      <c r="AD2" s="466" t="s">
        <v>25</v>
      </c>
      <c r="AE2" s="1266" t="s">
        <v>26</v>
      </c>
    </row>
    <row r="3" s="190" customFormat="1" ht="24.95" customHeight="1" spans="1:32">
      <c r="A3" s="14"/>
      <c r="B3" s="15"/>
      <c r="C3" s="15"/>
      <c r="D3" s="15"/>
      <c r="E3" s="29"/>
      <c r="F3" s="15"/>
      <c r="G3" s="15"/>
      <c r="H3" s="15"/>
      <c r="I3" s="15"/>
      <c r="J3" s="929"/>
      <c r="K3" s="15"/>
      <c r="L3" s="264" t="s">
        <v>94</v>
      </c>
      <c r="M3" s="264" t="s">
        <v>95</v>
      </c>
      <c r="N3" s="264" t="s">
        <v>96</v>
      </c>
      <c r="O3" s="264" t="s">
        <v>97</v>
      </c>
      <c r="P3" s="264" t="s">
        <v>98</v>
      </c>
      <c r="Q3" s="264" t="s">
        <v>99</v>
      </c>
      <c r="R3" s="1033" t="s">
        <v>73</v>
      </c>
      <c r="S3" s="1033" t="s">
        <v>74</v>
      </c>
      <c r="T3" s="1033" t="s">
        <v>75</v>
      </c>
      <c r="U3" s="21"/>
      <c r="V3" s="21"/>
      <c r="W3" s="21"/>
      <c r="X3" s="21"/>
      <c r="Y3" s="21"/>
      <c r="Z3" s="24"/>
      <c r="AA3" s="19"/>
      <c r="AB3" s="204"/>
      <c r="AC3" s="204"/>
      <c r="AD3" s="204"/>
      <c r="AE3" s="27"/>
    </row>
    <row r="4" s="3" customFormat="1" ht="33.75" hidden="1" customHeight="1" spans="1:32">
      <c r="A4" s="208">
        <f t="shared" ref="A4:A13" si="0">ROW()-3</f>
        <v>1</v>
      </c>
      <c r="B4" s="48" t="s">
        <v>100</v>
      </c>
      <c r="C4" s="49" t="s">
        <v>101</v>
      </c>
      <c r="D4" s="51" t="s">
        <v>102</v>
      </c>
      <c r="E4" s="51"/>
      <c r="F4" s="52">
        <v>46025</v>
      </c>
      <c r="G4" s="52">
        <v>46025</v>
      </c>
      <c r="H4" s="52">
        <v>46025</v>
      </c>
      <c r="I4" s="53">
        <v>45980</v>
      </c>
      <c r="J4" s="932">
        <v>5994</v>
      </c>
      <c r="K4" s="49">
        <v>18</v>
      </c>
      <c r="L4" s="478">
        <f>J4/K4*3</f>
        <v>999</v>
      </c>
      <c r="M4" s="478">
        <f>J4/K4*3</f>
        <v>999</v>
      </c>
      <c r="N4" s="478">
        <f>J4/K4*3</f>
        <v>999</v>
      </c>
      <c r="O4" s="478">
        <f>J4/K4*3</f>
        <v>999</v>
      </c>
      <c r="P4" s="478">
        <f>J4/K4*3</f>
        <v>999</v>
      </c>
      <c r="Q4" s="478">
        <f>J4/K4*3</f>
        <v>999</v>
      </c>
      <c r="R4" s="914" t="s">
        <v>103</v>
      </c>
      <c r="S4" s="214" t="s">
        <v>104</v>
      </c>
      <c r="T4" s="48" t="s">
        <v>105</v>
      </c>
      <c r="U4" s="49" t="s">
        <v>81</v>
      </c>
      <c r="V4" s="176" t="s">
        <v>106</v>
      </c>
      <c r="W4" s="176" t="s">
        <v>82</v>
      </c>
      <c r="X4" s="305" t="s">
        <v>107</v>
      </c>
      <c r="Y4" s="48" t="s">
        <v>103</v>
      </c>
      <c r="Z4" s="48" t="s">
        <v>108</v>
      </c>
      <c r="AA4" s="211">
        <v>46020</v>
      </c>
      <c r="AB4" s="211">
        <v>46030</v>
      </c>
      <c r="AC4" s="211"/>
      <c r="AD4" s="176">
        <v>46032</v>
      </c>
      <c r="AE4" s="177" t="s">
        <v>109</v>
      </c>
      <c r="AF4" s="3" t="s">
        <v>110</v>
      </c>
    </row>
    <row r="5" s="3" customFormat="1" ht="33.75" hidden="1" customHeight="1" spans="1:32">
      <c r="A5" s="208">
        <f t="shared" si="0"/>
        <v>2</v>
      </c>
      <c r="B5" s="48" t="s">
        <v>100</v>
      </c>
      <c r="C5" s="49" t="s">
        <v>101</v>
      </c>
      <c r="D5" s="51" t="s">
        <v>111</v>
      </c>
      <c r="E5" s="51"/>
      <c r="F5" s="52">
        <v>46047</v>
      </c>
      <c r="G5" s="52">
        <v>46047</v>
      </c>
      <c r="H5" s="52">
        <v>46047</v>
      </c>
      <c r="I5" s="53">
        <v>45980</v>
      </c>
      <c r="J5" s="932">
        <v>3996</v>
      </c>
      <c r="K5" s="49">
        <v>18</v>
      </c>
      <c r="L5" s="478">
        <f>J5/K5*3</f>
        <v>666</v>
      </c>
      <c r="M5" s="478">
        <f>J5/K5*3</f>
        <v>666</v>
      </c>
      <c r="N5" s="478">
        <f>J5/K5*3</f>
        <v>666</v>
      </c>
      <c r="O5" s="478">
        <f>J5/K5*3</f>
        <v>666</v>
      </c>
      <c r="P5" s="478">
        <f>J5/K5*3</f>
        <v>666</v>
      </c>
      <c r="Q5" s="478">
        <f>J5/K5*3</f>
        <v>666</v>
      </c>
      <c r="R5" s="914" t="s">
        <v>103</v>
      </c>
      <c r="S5" s="214" t="s">
        <v>104</v>
      </c>
      <c r="T5" s="48" t="s">
        <v>105</v>
      </c>
      <c r="U5" s="49" t="s">
        <v>81</v>
      </c>
      <c r="V5" s="176" t="s">
        <v>106</v>
      </c>
      <c r="W5" s="176" t="s">
        <v>82</v>
      </c>
      <c r="X5" s="305" t="s">
        <v>107</v>
      </c>
      <c r="Y5" s="48" t="s">
        <v>103</v>
      </c>
      <c r="Z5" s="48" t="s">
        <v>108</v>
      </c>
      <c r="AA5" s="211">
        <v>45680</v>
      </c>
      <c r="AB5" s="211">
        <v>46044</v>
      </c>
      <c r="AC5" s="211"/>
      <c r="AD5" s="176">
        <v>46052</v>
      </c>
      <c r="AE5" s="177" t="s">
        <v>112</v>
      </c>
      <c r="AF5" s="3" t="s">
        <v>110</v>
      </c>
    </row>
    <row r="6" s="3" customFormat="1" ht="33.75" hidden="1" customHeight="1" spans="1:32">
      <c r="A6" s="208">
        <f t="shared" si="0"/>
        <v>3</v>
      </c>
      <c r="B6" s="48" t="s">
        <v>113</v>
      </c>
      <c r="C6" s="49" t="s">
        <v>114</v>
      </c>
      <c r="D6" s="51" t="s">
        <v>115</v>
      </c>
      <c r="E6" s="51"/>
      <c r="F6" s="52">
        <v>45992</v>
      </c>
      <c r="G6" s="52">
        <v>46052</v>
      </c>
      <c r="H6" s="52">
        <v>46052</v>
      </c>
      <c r="I6" s="53">
        <v>45999</v>
      </c>
      <c r="J6" s="932">
        <v>7200</v>
      </c>
      <c r="K6" s="49">
        <v>18</v>
      </c>
      <c r="L6" s="478">
        <f>J6/K6*3</f>
        <v>1200</v>
      </c>
      <c r="M6" s="478">
        <f>J6/K6*3</f>
        <v>1200</v>
      </c>
      <c r="N6" s="478">
        <f>J6/K6*3</f>
        <v>1200</v>
      </c>
      <c r="O6" s="478">
        <f>J6/K6*3</f>
        <v>1200</v>
      </c>
      <c r="P6" s="478">
        <f>J6/K6*3</f>
        <v>1200</v>
      </c>
      <c r="Q6" s="478">
        <f>J6/K6*3</f>
        <v>1200</v>
      </c>
      <c r="R6" s="49" t="s">
        <v>116</v>
      </c>
      <c r="S6" s="214" t="s">
        <v>104</v>
      </c>
      <c r="T6" s="48" t="s">
        <v>117</v>
      </c>
      <c r="U6" s="49" t="s">
        <v>81</v>
      </c>
      <c r="V6" s="176" t="s">
        <v>118</v>
      </c>
      <c r="W6" s="48" t="s">
        <v>119</v>
      </c>
      <c r="X6" s="305" t="s">
        <v>120</v>
      </c>
      <c r="Y6" s="49" t="s">
        <v>116</v>
      </c>
      <c r="Z6" s="48" t="s">
        <v>121</v>
      </c>
      <c r="AA6" s="211">
        <v>46050</v>
      </c>
      <c r="AB6" s="211">
        <v>46050</v>
      </c>
      <c r="AC6" s="211"/>
      <c r="AD6" s="176">
        <v>46055</v>
      </c>
      <c r="AE6" s="177" t="s">
        <v>122</v>
      </c>
      <c r="AF6" s="3" t="s">
        <v>110</v>
      </c>
    </row>
    <row r="7" s="3" customFormat="1" ht="33.75" hidden="1" customHeight="1" spans="1:32">
      <c r="A7" s="208">
        <f t="shared" si="0"/>
        <v>4</v>
      </c>
      <c r="B7" s="48" t="s">
        <v>123</v>
      </c>
      <c r="C7" s="49" t="s">
        <v>124</v>
      </c>
      <c r="D7" s="51" t="s">
        <v>125</v>
      </c>
      <c r="E7" s="51" t="s">
        <v>126</v>
      </c>
      <c r="F7" s="52">
        <v>46041</v>
      </c>
      <c r="G7" s="52">
        <v>46142</v>
      </c>
      <c r="H7" s="52">
        <v>46142</v>
      </c>
      <c r="I7" s="53">
        <v>46108</v>
      </c>
      <c r="J7" s="932">
        <f t="shared" ref="J7:J21" si="1">SUBTOTAL(9,L7:Q7)</f>
        <v>0</v>
      </c>
      <c r="K7" s="49">
        <v>18</v>
      </c>
      <c r="L7" s="478">
        <v>336</v>
      </c>
      <c r="M7" s="478">
        <v>336</v>
      </c>
      <c r="N7" s="478">
        <v>336</v>
      </c>
      <c r="O7" s="478">
        <v>336</v>
      </c>
      <c r="P7" s="478">
        <v>336</v>
      </c>
      <c r="Q7" s="478">
        <v>336</v>
      </c>
      <c r="R7" s="49" t="s">
        <v>127</v>
      </c>
      <c r="S7" s="49" t="s">
        <v>104</v>
      </c>
      <c r="T7" s="305" t="s">
        <v>128</v>
      </c>
      <c r="U7" s="49" t="s">
        <v>81</v>
      </c>
      <c r="V7" s="176" t="s">
        <v>129</v>
      </c>
      <c r="W7" s="48" t="s">
        <v>129</v>
      </c>
      <c r="X7" s="48" t="s">
        <v>130</v>
      </c>
      <c r="Y7" s="49" t="s">
        <v>127</v>
      </c>
      <c r="Z7" s="48" t="s">
        <v>131</v>
      </c>
      <c r="AA7" s="211">
        <v>46142</v>
      </c>
      <c r="AB7" s="211">
        <v>46149</v>
      </c>
      <c r="AC7" s="211"/>
      <c r="AD7" s="176">
        <v>46158</v>
      </c>
      <c r="AE7" s="177" t="s">
        <v>132</v>
      </c>
      <c r="AF7" s="1267" t="s">
        <v>133</v>
      </c>
    </row>
    <row r="8" s="3" customFormat="1" ht="33.75" hidden="1" customHeight="1" spans="1:32">
      <c r="A8" s="208">
        <f t="shared" si="0"/>
        <v>5</v>
      </c>
      <c r="B8" s="48" t="s">
        <v>134</v>
      </c>
      <c r="C8" s="49" t="s">
        <v>135</v>
      </c>
      <c r="D8" s="51" t="s">
        <v>136</v>
      </c>
      <c r="E8" s="51" t="s">
        <v>137</v>
      </c>
      <c r="F8" s="52">
        <v>46055</v>
      </c>
      <c r="G8" s="52">
        <v>46150</v>
      </c>
      <c r="H8" s="52">
        <v>46150</v>
      </c>
      <c r="I8" s="53">
        <v>46100</v>
      </c>
      <c r="J8" s="932">
        <f t="shared" si="1"/>
        <v>0</v>
      </c>
      <c r="K8" s="49">
        <v>18</v>
      </c>
      <c r="L8" s="478"/>
      <c r="M8" s="478"/>
      <c r="N8" s="478">
        <v>3744</v>
      </c>
      <c r="O8" s="478"/>
      <c r="P8" s="478"/>
      <c r="Q8" s="478"/>
      <c r="R8" s="49" t="s">
        <v>127</v>
      </c>
      <c r="S8" s="49" t="s">
        <v>104</v>
      </c>
      <c r="T8" s="305" t="s">
        <v>128</v>
      </c>
      <c r="U8" s="49" t="s">
        <v>81</v>
      </c>
      <c r="V8" s="176" t="s">
        <v>129</v>
      </c>
      <c r="W8" s="48" t="s">
        <v>129</v>
      </c>
      <c r="X8" s="305" t="s">
        <v>138</v>
      </c>
      <c r="Y8" s="49" t="s">
        <v>127</v>
      </c>
      <c r="Z8" s="48" t="s">
        <v>121</v>
      </c>
      <c r="AA8" s="211">
        <v>46142</v>
      </c>
      <c r="AB8" s="211">
        <v>46149</v>
      </c>
      <c r="AC8" s="211">
        <v>46150</v>
      </c>
      <c r="AD8" s="176">
        <v>46183</v>
      </c>
      <c r="AE8" s="177" t="s">
        <v>139</v>
      </c>
      <c r="AF8" s="1268" t="s">
        <v>140</v>
      </c>
    </row>
    <row r="9" s="3" customFormat="1" ht="33.75" hidden="1" customHeight="1" spans="1:32">
      <c r="A9" s="208">
        <f t="shared" si="0"/>
        <v>6</v>
      </c>
      <c r="B9" s="48" t="s">
        <v>141</v>
      </c>
      <c r="C9" s="49" t="s">
        <v>114</v>
      </c>
      <c r="D9" s="51" t="s">
        <v>142</v>
      </c>
      <c r="E9" s="51" t="s">
        <v>143</v>
      </c>
      <c r="F9" s="52">
        <v>46126</v>
      </c>
      <c r="G9" s="52">
        <v>46169</v>
      </c>
      <c r="H9" s="52">
        <v>46169</v>
      </c>
      <c r="I9" s="53">
        <v>46134</v>
      </c>
      <c r="J9" s="932">
        <f t="shared" si="1"/>
        <v>0</v>
      </c>
      <c r="K9" s="49">
        <v>18</v>
      </c>
      <c r="L9" s="478">
        <v>144</v>
      </c>
      <c r="M9" s="478">
        <v>144</v>
      </c>
      <c r="N9" s="478">
        <v>144</v>
      </c>
      <c r="O9" s="478">
        <v>144</v>
      </c>
      <c r="P9" s="478">
        <v>144</v>
      </c>
      <c r="Q9" s="478">
        <v>144</v>
      </c>
      <c r="R9" s="49" t="s">
        <v>127</v>
      </c>
      <c r="S9" s="49" t="s">
        <v>104</v>
      </c>
      <c r="T9" s="305" t="s">
        <v>128</v>
      </c>
      <c r="U9" s="49" t="s">
        <v>81</v>
      </c>
      <c r="V9" s="176" t="s">
        <v>82</v>
      </c>
      <c r="W9" s="176" t="s">
        <v>82</v>
      </c>
      <c r="X9" s="305" t="s">
        <v>144</v>
      </c>
      <c r="Y9" s="49" t="s">
        <v>127</v>
      </c>
      <c r="Z9" s="48" t="s">
        <v>145</v>
      </c>
      <c r="AA9" s="211">
        <v>46169</v>
      </c>
      <c r="AB9" s="211">
        <v>46169</v>
      </c>
      <c r="AC9" s="211"/>
      <c r="AD9" s="176">
        <v>46174</v>
      </c>
      <c r="AE9" s="177">
        <v>47949970</v>
      </c>
      <c r="AF9" s="1268" t="s">
        <v>110</v>
      </c>
    </row>
    <row r="10" s="3" customFormat="1" ht="33.75" hidden="1" customHeight="1" spans="1:32">
      <c r="A10" s="208">
        <f t="shared" si="0"/>
        <v>7</v>
      </c>
      <c r="B10" s="48" t="s">
        <v>141</v>
      </c>
      <c r="C10" s="49" t="s">
        <v>114</v>
      </c>
      <c r="D10" s="51" t="s">
        <v>146</v>
      </c>
      <c r="E10" s="51" t="s">
        <v>147</v>
      </c>
      <c r="F10" s="52">
        <v>46126</v>
      </c>
      <c r="G10" s="52">
        <v>46169</v>
      </c>
      <c r="H10" s="52">
        <v>46169</v>
      </c>
      <c r="I10" s="53">
        <v>46134</v>
      </c>
      <c r="J10" s="932">
        <f t="shared" si="1"/>
        <v>0</v>
      </c>
      <c r="K10" s="49">
        <v>18</v>
      </c>
      <c r="L10" s="478">
        <v>126</v>
      </c>
      <c r="M10" s="478">
        <v>126</v>
      </c>
      <c r="N10" s="478">
        <v>126</v>
      </c>
      <c r="O10" s="478">
        <v>126</v>
      </c>
      <c r="P10" s="478">
        <v>126</v>
      </c>
      <c r="Q10" s="478">
        <v>126</v>
      </c>
      <c r="R10" s="49" t="s">
        <v>127</v>
      </c>
      <c r="S10" s="49" t="s">
        <v>104</v>
      </c>
      <c r="T10" s="305" t="s">
        <v>128</v>
      </c>
      <c r="U10" s="49" t="s">
        <v>81</v>
      </c>
      <c r="V10" s="176" t="s">
        <v>82</v>
      </c>
      <c r="W10" s="176" t="s">
        <v>82</v>
      </c>
      <c r="X10" s="305" t="s">
        <v>144</v>
      </c>
      <c r="Y10" s="49" t="s">
        <v>127</v>
      </c>
      <c r="Z10" s="48" t="s">
        <v>145</v>
      </c>
      <c r="AA10" s="211">
        <v>46169</v>
      </c>
      <c r="AB10" s="211">
        <v>46169</v>
      </c>
      <c r="AC10" s="211"/>
      <c r="AD10" s="176">
        <v>46174</v>
      </c>
      <c r="AE10" s="177">
        <v>47949971</v>
      </c>
      <c r="AF10" s="1268" t="s">
        <v>110</v>
      </c>
    </row>
    <row r="11" s="3" customFormat="1" ht="33.75" hidden="1" customHeight="1" spans="1:32">
      <c r="A11" s="208">
        <f t="shared" si="0"/>
        <v>8</v>
      </c>
      <c r="B11" s="48" t="s">
        <v>141</v>
      </c>
      <c r="C11" s="49" t="s">
        <v>114</v>
      </c>
      <c r="D11" s="51" t="s">
        <v>148</v>
      </c>
      <c r="E11" s="51" t="s">
        <v>149</v>
      </c>
      <c r="F11" s="52">
        <v>46126</v>
      </c>
      <c r="G11" s="52">
        <v>46169</v>
      </c>
      <c r="H11" s="52">
        <v>46169</v>
      </c>
      <c r="I11" s="53">
        <v>46134</v>
      </c>
      <c r="J11" s="932">
        <f t="shared" si="1"/>
        <v>0</v>
      </c>
      <c r="K11" s="49">
        <v>18</v>
      </c>
      <c r="L11" s="478">
        <v>102</v>
      </c>
      <c r="M11" s="478">
        <v>102</v>
      </c>
      <c r="N11" s="478">
        <v>102</v>
      </c>
      <c r="O11" s="478">
        <v>102</v>
      </c>
      <c r="P11" s="478">
        <v>102</v>
      </c>
      <c r="Q11" s="478">
        <v>102</v>
      </c>
      <c r="R11" s="49" t="s">
        <v>127</v>
      </c>
      <c r="S11" s="49" t="s">
        <v>104</v>
      </c>
      <c r="T11" s="305" t="s">
        <v>128</v>
      </c>
      <c r="U11" s="49" t="s">
        <v>81</v>
      </c>
      <c r="V11" s="176" t="s">
        <v>82</v>
      </c>
      <c r="W11" s="176" t="s">
        <v>82</v>
      </c>
      <c r="X11" s="305" t="s">
        <v>144</v>
      </c>
      <c r="Y11" s="49" t="s">
        <v>127</v>
      </c>
      <c r="Z11" s="48" t="s">
        <v>145</v>
      </c>
      <c r="AA11" s="211">
        <v>46169</v>
      </c>
      <c r="AB11" s="211">
        <v>46169</v>
      </c>
      <c r="AC11" s="211"/>
      <c r="AD11" s="176">
        <v>46174</v>
      </c>
      <c r="AE11" s="177">
        <v>47949972</v>
      </c>
      <c r="AF11" s="1268" t="s">
        <v>110</v>
      </c>
    </row>
    <row r="12" s="3" customFormat="1" ht="33.75" hidden="1" customHeight="1" spans="1:32">
      <c r="A12" s="208">
        <f t="shared" si="0"/>
        <v>9</v>
      </c>
      <c r="B12" s="48" t="s">
        <v>141</v>
      </c>
      <c r="C12" s="49" t="s">
        <v>114</v>
      </c>
      <c r="D12" s="51" t="s">
        <v>150</v>
      </c>
      <c r="E12" s="51" t="s">
        <v>151</v>
      </c>
      <c r="F12" s="52">
        <v>46126</v>
      </c>
      <c r="G12" s="52">
        <v>46169</v>
      </c>
      <c r="H12" s="52">
        <v>46169</v>
      </c>
      <c r="I12" s="53">
        <v>46134</v>
      </c>
      <c r="J12" s="932">
        <f t="shared" si="1"/>
        <v>0</v>
      </c>
      <c r="K12" s="49">
        <v>18</v>
      </c>
      <c r="L12" s="478">
        <v>45</v>
      </c>
      <c r="M12" s="478">
        <v>45</v>
      </c>
      <c r="N12" s="478">
        <v>45</v>
      </c>
      <c r="O12" s="478">
        <v>45</v>
      </c>
      <c r="P12" s="478">
        <v>45</v>
      </c>
      <c r="Q12" s="478">
        <v>45</v>
      </c>
      <c r="R12" s="49" t="s">
        <v>127</v>
      </c>
      <c r="S12" s="49" t="s">
        <v>104</v>
      </c>
      <c r="T12" s="305" t="s">
        <v>128</v>
      </c>
      <c r="U12" s="49" t="s">
        <v>81</v>
      </c>
      <c r="V12" s="176" t="s">
        <v>82</v>
      </c>
      <c r="W12" s="176" t="s">
        <v>82</v>
      </c>
      <c r="X12" s="305" t="s">
        <v>144</v>
      </c>
      <c r="Y12" s="49" t="s">
        <v>127</v>
      </c>
      <c r="Z12" s="48" t="s">
        <v>145</v>
      </c>
      <c r="AA12" s="211">
        <v>46169</v>
      </c>
      <c r="AB12" s="211">
        <v>46169</v>
      </c>
      <c r="AC12" s="211"/>
      <c r="AD12" s="176">
        <v>46174</v>
      </c>
      <c r="AE12" s="177">
        <v>47949973</v>
      </c>
      <c r="AF12" s="1268" t="s">
        <v>110</v>
      </c>
    </row>
    <row r="13" s="3" customFormat="1" ht="33.75" hidden="1" customHeight="1" spans="1:32">
      <c r="A13" s="208">
        <f t="shared" si="0"/>
        <v>10</v>
      </c>
      <c r="B13" s="48" t="s">
        <v>152</v>
      </c>
      <c r="C13" s="49" t="s">
        <v>135</v>
      </c>
      <c r="D13" s="51" t="s">
        <v>153</v>
      </c>
      <c r="E13" s="51" t="s">
        <v>154</v>
      </c>
      <c r="F13" s="52">
        <v>46122</v>
      </c>
      <c r="G13" s="52">
        <v>46191</v>
      </c>
      <c r="H13" s="52">
        <v>46191</v>
      </c>
      <c r="I13" s="53">
        <v>46154</v>
      </c>
      <c r="J13" s="932">
        <f t="shared" si="1"/>
        <v>0</v>
      </c>
      <c r="K13" s="49">
        <v>18</v>
      </c>
      <c r="L13" s="478">
        <v>600</v>
      </c>
      <c r="M13" s="478">
        <v>600</v>
      </c>
      <c r="N13" s="478">
        <v>600</v>
      </c>
      <c r="O13" s="478">
        <v>600</v>
      </c>
      <c r="P13" s="478">
        <v>600</v>
      </c>
      <c r="Q13" s="478">
        <v>600</v>
      </c>
      <c r="R13" s="49" t="s">
        <v>127</v>
      </c>
      <c r="S13" s="49" t="s">
        <v>104</v>
      </c>
      <c r="T13" s="305" t="s">
        <v>128</v>
      </c>
      <c r="U13" s="49" t="s">
        <v>81</v>
      </c>
      <c r="V13" s="176" t="s">
        <v>82</v>
      </c>
      <c r="W13" s="176" t="s">
        <v>82</v>
      </c>
      <c r="X13" s="305" t="s">
        <v>155</v>
      </c>
      <c r="Y13" s="49" t="s">
        <v>127</v>
      </c>
      <c r="Z13" s="48" t="s">
        <v>121</v>
      </c>
      <c r="AA13" s="211">
        <v>46191</v>
      </c>
      <c r="AB13" s="211">
        <v>46190</v>
      </c>
      <c r="AC13" s="211"/>
      <c r="AD13" s="176">
        <v>46226</v>
      </c>
      <c r="AE13" s="177">
        <v>36664</v>
      </c>
      <c r="AF13" s="1268" t="s">
        <v>110</v>
      </c>
    </row>
    <row r="14" s="3" customFormat="1" ht="33.75" hidden="1" customHeight="1" spans="1:32">
      <c r="A14" s="208">
        <f t="shared" ref="A14:A22" si="2">ROW()-3</f>
        <v>11</v>
      </c>
      <c r="B14" s="48" t="s">
        <v>141</v>
      </c>
      <c r="C14" s="49" t="s">
        <v>114</v>
      </c>
      <c r="D14" s="51" t="s">
        <v>156</v>
      </c>
      <c r="E14" s="51" t="s">
        <v>157</v>
      </c>
      <c r="F14" s="52">
        <v>46126</v>
      </c>
      <c r="G14" s="52">
        <v>46198</v>
      </c>
      <c r="H14" s="52">
        <v>46198</v>
      </c>
      <c r="I14" s="53">
        <v>46134</v>
      </c>
      <c r="J14" s="932">
        <f t="shared" si="1"/>
        <v>0</v>
      </c>
      <c r="K14" s="49">
        <v>18</v>
      </c>
      <c r="L14" s="478">
        <v>135</v>
      </c>
      <c r="M14" s="478">
        <v>135</v>
      </c>
      <c r="N14" s="478">
        <v>135</v>
      </c>
      <c r="O14" s="478">
        <v>135</v>
      </c>
      <c r="P14" s="478">
        <v>135</v>
      </c>
      <c r="Q14" s="478">
        <v>135</v>
      </c>
      <c r="R14" s="49" t="s">
        <v>127</v>
      </c>
      <c r="S14" s="49" t="s">
        <v>104</v>
      </c>
      <c r="T14" s="305" t="s">
        <v>128</v>
      </c>
      <c r="U14" s="49" t="s">
        <v>81</v>
      </c>
      <c r="V14" s="176" t="s">
        <v>82</v>
      </c>
      <c r="W14" s="176" t="s">
        <v>82</v>
      </c>
      <c r="X14" s="305" t="s">
        <v>144</v>
      </c>
      <c r="Y14" s="49" t="s">
        <v>127</v>
      </c>
      <c r="Z14" s="48" t="s">
        <v>145</v>
      </c>
      <c r="AA14" s="211">
        <v>46198</v>
      </c>
      <c r="AB14" s="211">
        <v>46190</v>
      </c>
      <c r="AC14" s="211"/>
      <c r="AD14" s="211">
        <v>46207</v>
      </c>
      <c r="AE14" s="177">
        <v>47949978</v>
      </c>
      <c r="AF14" s="1268" t="s">
        <v>110</v>
      </c>
    </row>
    <row r="15" s="3" customFormat="1" ht="33.75" hidden="1" customHeight="1" spans="1:32">
      <c r="A15" s="208">
        <f t="shared" si="2"/>
        <v>12</v>
      </c>
      <c r="B15" s="48" t="s">
        <v>141</v>
      </c>
      <c r="C15" s="49" t="s">
        <v>114</v>
      </c>
      <c r="D15" s="51" t="s">
        <v>158</v>
      </c>
      <c r="E15" s="51" t="s">
        <v>159</v>
      </c>
      <c r="F15" s="52">
        <v>46126</v>
      </c>
      <c r="G15" s="52">
        <v>46198</v>
      </c>
      <c r="H15" s="52">
        <v>46198</v>
      </c>
      <c r="I15" s="53">
        <v>46134</v>
      </c>
      <c r="J15" s="932">
        <f t="shared" si="1"/>
        <v>0</v>
      </c>
      <c r="K15" s="49">
        <v>18</v>
      </c>
      <c r="L15" s="478">
        <v>120</v>
      </c>
      <c r="M15" s="478">
        <v>120</v>
      </c>
      <c r="N15" s="478">
        <v>120</v>
      </c>
      <c r="O15" s="478">
        <v>120</v>
      </c>
      <c r="P15" s="478">
        <v>120</v>
      </c>
      <c r="Q15" s="478">
        <v>120</v>
      </c>
      <c r="R15" s="49" t="s">
        <v>127</v>
      </c>
      <c r="S15" s="49" t="s">
        <v>104</v>
      </c>
      <c r="T15" s="305" t="s">
        <v>128</v>
      </c>
      <c r="U15" s="49" t="s">
        <v>81</v>
      </c>
      <c r="V15" s="176" t="s">
        <v>82</v>
      </c>
      <c r="W15" s="176" t="s">
        <v>82</v>
      </c>
      <c r="X15" s="305" t="s">
        <v>144</v>
      </c>
      <c r="Y15" s="49" t="s">
        <v>127</v>
      </c>
      <c r="Z15" s="48" t="s">
        <v>145</v>
      </c>
      <c r="AA15" s="211">
        <v>46198</v>
      </c>
      <c r="AB15" s="211">
        <v>46190</v>
      </c>
      <c r="AC15" s="211"/>
      <c r="AD15" s="211">
        <v>46207</v>
      </c>
      <c r="AE15" s="177">
        <v>47949979</v>
      </c>
      <c r="AF15" s="1268" t="s">
        <v>110</v>
      </c>
    </row>
    <row r="16" s="3" customFormat="1" ht="33.75" hidden="1" customHeight="1" spans="1:32">
      <c r="A16" s="208">
        <f t="shared" si="2"/>
        <v>13</v>
      </c>
      <c r="B16" s="48" t="s">
        <v>141</v>
      </c>
      <c r="C16" s="49" t="s">
        <v>114</v>
      </c>
      <c r="D16" s="51" t="s">
        <v>160</v>
      </c>
      <c r="E16" s="51" t="s">
        <v>161</v>
      </c>
      <c r="F16" s="52">
        <v>46126</v>
      </c>
      <c r="G16" s="52">
        <v>46198</v>
      </c>
      <c r="H16" s="52">
        <v>46198</v>
      </c>
      <c r="I16" s="53">
        <v>46134</v>
      </c>
      <c r="J16" s="932">
        <f t="shared" si="1"/>
        <v>0</v>
      </c>
      <c r="K16" s="49">
        <v>18</v>
      </c>
      <c r="L16" s="478">
        <v>93</v>
      </c>
      <c r="M16" s="478">
        <v>93</v>
      </c>
      <c r="N16" s="478">
        <v>93</v>
      </c>
      <c r="O16" s="478">
        <v>93</v>
      </c>
      <c r="P16" s="478">
        <v>93</v>
      </c>
      <c r="Q16" s="478">
        <v>93</v>
      </c>
      <c r="R16" s="49" t="s">
        <v>127</v>
      </c>
      <c r="S16" s="49" t="s">
        <v>104</v>
      </c>
      <c r="T16" s="305" t="s">
        <v>128</v>
      </c>
      <c r="U16" s="49" t="s">
        <v>81</v>
      </c>
      <c r="V16" s="176" t="s">
        <v>82</v>
      </c>
      <c r="W16" s="176" t="s">
        <v>82</v>
      </c>
      <c r="X16" s="305" t="s">
        <v>144</v>
      </c>
      <c r="Y16" s="49" t="s">
        <v>127</v>
      </c>
      <c r="Z16" s="48" t="s">
        <v>145</v>
      </c>
      <c r="AA16" s="211">
        <v>46198</v>
      </c>
      <c r="AB16" s="211">
        <v>46190</v>
      </c>
      <c r="AC16" s="211"/>
      <c r="AD16" s="211">
        <v>46207</v>
      </c>
      <c r="AE16" s="177">
        <v>47949980</v>
      </c>
      <c r="AF16" s="1268" t="s">
        <v>110</v>
      </c>
    </row>
    <row r="17" s="3" customFormat="1" ht="33.75" hidden="1" customHeight="1" spans="1:32">
      <c r="A17" s="208">
        <f t="shared" si="2"/>
        <v>14</v>
      </c>
      <c r="B17" s="48" t="s">
        <v>141</v>
      </c>
      <c r="C17" s="49" t="s">
        <v>114</v>
      </c>
      <c r="D17" s="51" t="s">
        <v>162</v>
      </c>
      <c r="E17" s="51" t="s">
        <v>163</v>
      </c>
      <c r="F17" s="52">
        <v>46126</v>
      </c>
      <c r="G17" s="52">
        <v>46198</v>
      </c>
      <c r="H17" s="52">
        <v>46198</v>
      </c>
      <c r="I17" s="53">
        <v>46134</v>
      </c>
      <c r="J17" s="932">
        <f t="shared" si="1"/>
        <v>0</v>
      </c>
      <c r="K17" s="49">
        <v>18</v>
      </c>
      <c r="L17" s="478">
        <v>39</v>
      </c>
      <c r="M17" s="478">
        <v>39</v>
      </c>
      <c r="N17" s="478">
        <v>39</v>
      </c>
      <c r="O17" s="478">
        <v>39</v>
      </c>
      <c r="P17" s="478">
        <v>39</v>
      </c>
      <c r="Q17" s="478">
        <v>39</v>
      </c>
      <c r="R17" s="49" t="s">
        <v>127</v>
      </c>
      <c r="S17" s="49" t="s">
        <v>104</v>
      </c>
      <c r="T17" s="305" t="s">
        <v>128</v>
      </c>
      <c r="U17" s="49" t="s">
        <v>81</v>
      </c>
      <c r="V17" s="176" t="s">
        <v>82</v>
      </c>
      <c r="W17" s="176" t="s">
        <v>82</v>
      </c>
      <c r="X17" s="305" t="s">
        <v>144</v>
      </c>
      <c r="Y17" s="49" t="s">
        <v>127</v>
      </c>
      <c r="Z17" s="48" t="s">
        <v>145</v>
      </c>
      <c r="AA17" s="211">
        <v>46198</v>
      </c>
      <c r="AB17" s="211">
        <v>46190</v>
      </c>
      <c r="AC17" s="211"/>
      <c r="AD17" s="211">
        <v>46207</v>
      </c>
      <c r="AE17" s="177">
        <v>47949981</v>
      </c>
      <c r="AF17" s="1268" t="s">
        <v>110</v>
      </c>
    </row>
    <row r="18" s="3" customFormat="1" ht="33.75" hidden="1" customHeight="1" spans="1:32">
      <c r="A18" s="208">
        <f t="shared" si="2"/>
        <v>15</v>
      </c>
      <c r="B18" s="48" t="s">
        <v>141</v>
      </c>
      <c r="C18" s="49" t="s">
        <v>114</v>
      </c>
      <c r="D18" s="51" t="s">
        <v>164</v>
      </c>
      <c r="E18" s="51" t="s">
        <v>165</v>
      </c>
      <c r="F18" s="52">
        <v>46126</v>
      </c>
      <c r="G18" s="52">
        <v>46231</v>
      </c>
      <c r="H18" s="52">
        <v>46231</v>
      </c>
      <c r="I18" s="53">
        <v>46134</v>
      </c>
      <c r="J18" s="932">
        <f t="shared" si="1"/>
        <v>0</v>
      </c>
      <c r="K18" s="49">
        <v>18</v>
      </c>
      <c r="L18" s="478">
        <v>135</v>
      </c>
      <c r="M18" s="478">
        <v>135</v>
      </c>
      <c r="N18" s="478">
        <v>135</v>
      </c>
      <c r="O18" s="478">
        <v>135</v>
      </c>
      <c r="P18" s="478">
        <v>135</v>
      </c>
      <c r="Q18" s="478">
        <v>135</v>
      </c>
      <c r="R18" s="49" t="s">
        <v>166</v>
      </c>
      <c r="S18" s="49" t="s">
        <v>104</v>
      </c>
      <c r="T18" s="305" t="s">
        <v>167</v>
      </c>
      <c r="U18" s="49" t="s">
        <v>81</v>
      </c>
      <c r="V18" s="176" t="s">
        <v>168</v>
      </c>
      <c r="W18" s="176" t="s">
        <v>82</v>
      </c>
      <c r="X18" s="305" t="s">
        <v>144</v>
      </c>
      <c r="Y18" s="49" t="s">
        <v>166</v>
      </c>
      <c r="Z18" s="48" t="s">
        <v>145</v>
      </c>
      <c r="AA18" s="211">
        <v>46231</v>
      </c>
      <c r="AB18" s="211">
        <v>46231</v>
      </c>
      <c r="AC18" s="211"/>
      <c r="AD18" s="176">
        <v>46235</v>
      </c>
      <c r="AE18" s="177">
        <v>47951034</v>
      </c>
      <c r="AF18" s="1268" t="s">
        <v>110</v>
      </c>
    </row>
    <row r="19" s="3" customFormat="1" ht="33.75" hidden="1" customHeight="1" spans="1:32">
      <c r="A19" s="208">
        <f t="shared" si="2"/>
        <v>16</v>
      </c>
      <c r="B19" s="48" t="s">
        <v>141</v>
      </c>
      <c r="C19" s="49" t="s">
        <v>114</v>
      </c>
      <c r="D19" s="51" t="s">
        <v>169</v>
      </c>
      <c r="E19" s="51" t="s">
        <v>170</v>
      </c>
      <c r="F19" s="52">
        <v>46126</v>
      </c>
      <c r="G19" s="52">
        <v>46231</v>
      </c>
      <c r="H19" s="52">
        <v>46231</v>
      </c>
      <c r="I19" s="53">
        <v>46134</v>
      </c>
      <c r="J19" s="932">
        <f t="shared" si="1"/>
        <v>0</v>
      </c>
      <c r="K19" s="49">
        <v>18</v>
      </c>
      <c r="L19" s="478">
        <v>120</v>
      </c>
      <c r="M19" s="478">
        <v>120</v>
      </c>
      <c r="N19" s="478">
        <v>120</v>
      </c>
      <c r="O19" s="478">
        <v>120</v>
      </c>
      <c r="P19" s="478">
        <v>120</v>
      </c>
      <c r="Q19" s="478">
        <v>120</v>
      </c>
      <c r="R19" s="49" t="s">
        <v>166</v>
      </c>
      <c r="S19" s="49" t="s">
        <v>104</v>
      </c>
      <c r="T19" s="305" t="s">
        <v>167</v>
      </c>
      <c r="U19" s="49" t="s">
        <v>81</v>
      </c>
      <c r="V19" s="176" t="s">
        <v>168</v>
      </c>
      <c r="W19" s="176" t="s">
        <v>82</v>
      </c>
      <c r="X19" s="305" t="s">
        <v>144</v>
      </c>
      <c r="Y19" s="49" t="s">
        <v>166</v>
      </c>
      <c r="Z19" s="48" t="s">
        <v>145</v>
      </c>
      <c r="AA19" s="211">
        <v>46231</v>
      </c>
      <c r="AB19" s="211">
        <v>46231</v>
      </c>
      <c r="AC19" s="211"/>
      <c r="AD19" s="176">
        <v>46235</v>
      </c>
      <c r="AE19" s="177">
        <v>47951035</v>
      </c>
      <c r="AF19" s="1268" t="s">
        <v>110</v>
      </c>
    </row>
    <row r="20" s="3" customFormat="1" ht="33.75" hidden="1" customHeight="1" spans="1:32">
      <c r="A20" s="208">
        <f t="shared" si="2"/>
        <v>17</v>
      </c>
      <c r="B20" s="48" t="s">
        <v>141</v>
      </c>
      <c r="C20" s="49" t="s">
        <v>114</v>
      </c>
      <c r="D20" s="51" t="s">
        <v>171</v>
      </c>
      <c r="E20" s="51" t="s">
        <v>172</v>
      </c>
      <c r="F20" s="52">
        <v>46126</v>
      </c>
      <c r="G20" s="52">
        <v>46231</v>
      </c>
      <c r="H20" s="52">
        <v>46231</v>
      </c>
      <c r="I20" s="53">
        <v>46134</v>
      </c>
      <c r="J20" s="932">
        <f t="shared" si="1"/>
        <v>0</v>
      </c>
      <c r="K20" s="49">
        <v>18</v>
      </c>
      <c r="L20" s="478">
        <v>93</v>
      </c>
      <c r="M20" s="478">
        <v>93</v>
      </c>
      <c r="N20" s="478">
        <v>93</v>
      </c>
      <c r="O20" s="478">
        <v>93</v>
      </c>
      <c r="P20" s="478">
        <v>93</v>
      </c>
      <c r="Q20" s="478">
        <v>93</v>
      </c>
      <c r="R20" s="49" t="s">
        <v>166</v>
      </c>
      <c r="S20" s="49" t="s">
        <v>104</v>
      </c>
      <c r="T20" s="305" t="s">
        <v>167</v>
      </c>
      <c r="U20" s="49" t="s">
        <v>81</v>
      </c>
      <c r="V20" s="176" t="s">
        <v>168</v>
      </c>
      <c r="W20" s="176" t="s">
        <v>82</v>
      </c>
      <c r="X20" s="305" t="s">
        <v>144</v>
      </c>
      <c r="Y20" s="49" t="s">
        <v>166</v>
      </c>
      <c r="Z20" s="48" t="s">
        <v>145</v>
      </c>
      <c r="AA20" s="211">
        <v>46231</v>
      </c>
      <c r="AB20" s="211">
        <v>46231</v>
      </c>
      <c r="AC20" s="211"/>
      <c r="AD20" s="176">
        <v>46235</v>
      </c>
      <c r="AE20" s="177">
        <v>47951036</v>
      </c>
      <c r="AF20" s="1268" t="s">
        <v>110</v>
      </c>
    </row>
    <row r="21" s="3" customFormat="1" ht="33.75" hidden="1" customHeight="1" spans="1:32">
      <c r="A21" s="208">
        <f t="shared" si="2"/>
        <v>18</v>
      </c>
      <c r="B21" s="48" t="s">
        <v>141</v>
      </c>
      <c r="C21" s="49" t="s">
        <v>114</v>
      </c>
      <c r="D21" s="51" t="s">
        <v>173</v>
      </c>
      <c r="E21" s="51" t="s">
        <v>174</v>
      </c>
      <c r="F21" s="52">
        <v>46126</v>
      </c>
      <c r="G21" s="52">
        <v>46231</v>
      </c>
      <c r="H21" s="52">
        <v>46231</v>
      </c>
      <c r="I21" s="53">
        <v>46134</v>
      </c>
      <c r="J21" s="932">
        <f t="shared" si="1"/>
        <v>0</v>
      </c>
      <c r="K21" s="49">
        <v>18</v>
      </c>
      <c r="L21" s="478">
        <v>39</v>
      </c>
      <c r="M21" s="478">
        <v>39</v>
      </c>
      <c r="N21" s="478">
        <v>39</v>
      </c>
      <c r="O21" s="478">
        <v>39</v>
      </c>
      <c r="P21" s="478">
        <v>39</v>
      </c>
      <c r="Q21" s="478">
        <v>39</v>
      </c>
      <c r="R21" s="49" t="s">
        <v>166</v>
      </c>
      <c r="S21" s="49" t="s">
        <v>104</v>
      </c>
      <c r="T21" s="305" t="s">
        <v>167</v>
      </c>
      <c r="U21" s="49" t="s">
        <v>81</v>
      </c>
      <c r="V21" s="176" t="s">
        <v>168</v>
      </c>
      <c r="W21" s="176" t="s">
        <v>82</v>
      </c>
      <c r="X21" s="305" t="s">
        <v>144</v>
      </c>
      <c r="Y21" s="49" t="s">
        <v>166</v>
      </c>
      <c r="Z21" s="48" t="s">
        <v>145</v>
      </c>
      <c r="AA21" s="211">
        <v>46231</v>
      </c>
      <c r="AB21" s="211">
        <v>46231</v>
      </c>
      <c r="AC21" s="211"/>
      <c r="AD21" s="176">
        <v>46235</v>
      </c>
      <c r="AE21" s="177">
        <v>47951037</v>
      </c>
      <c r="AF21" s="1268" t="s">
        <v>110</v>
      </c>
    </row>
    <row r="22" s="3" customFormat="1" ht="33.75" customHeight="1" spans="1:32">
      <c r="A22" s="215">
        <f t="shared" si="2"/>
        <v>19</v>
      </c>
      <c r="B22" s="183"/>
      <c r="C22" s="96"/>
      <c r="D22" s="293"/>
      <c r="E22" s="293"/>
      <c r="F22" s="217"/>
      <c r="G22" s="217"/>
      <c r="H22" s="217"/>
      <c r="I22" s="218"/>
      <c r="J22" s="933"/>
      <c r="K22" s="96"/>
      <c r="L22" s="1269"/>
      <c r="M22" s="1269"/>
      <c r="N22" s="1269"/>
      <c r="O22" s="1269"/>
      <c r="P22" s="1269"/>
      <c r="Q22" s="1269"/>
      <c r="R22" s="219"/>
      <c r="S22" s="219"/>
      <c r="T22" s="1208"/>
      <c r="U22" s="96"/>
      <c r="V22" s="97"/>
      <c r="W22" s="183"/>
      <c r="X22" s="297"/>
      <c r="Y22" s="96"/>
      <c r="Z22" s="183"/>
      <c r="AA22" s="279"/>
      <c r="AB22" s="279"/>
      <c r="AC22" s="279"/>
      <c r="AD22" s="97"/>
      <c r="AE22" s="178"/>
      <c r="AF22" s="1268"/>
    </row>
    <row r="23" s="3" customFormat="1" ht="33.75" customHeight="1" spans="1:32">
      <c r="A23" s="215"/>
      <c r="B23" s="183"/>
      <c r="C23" s="96"/>
      <c r="D23" s="293"/>
      <c r="E23" s="293"/>
      <c r="F23" s="217"/>
      <c r="G23" s="217"/>
      <c r="H23" s="217"/>
      <c r="I23" s="218"/>
      <c r="J23" s="1270"/>
      <c r="K23" s="368"/>
      <c r="L23" s="1271"/>
      <c r="M23" s="1272"/>
      <c r="N23" s="1272"/>
      <c r="O23" s="1272"/>
      <c r="P23" s="1272"/>
      <c r="Q23" s="1273"/>
      <c r="R23" s="219"/>
      <c r="S23" s="219"/>
      <c r="T23" s="219"/>
      <c r="U23" s="96"/>
      <c r="V23" s="97"/>
      <c r="W23" s="97"/>
      <c r="X23" s="297"/>
      <c r="Y23" s="297"/>
      <c r="Z23" s="183"/>
      <c r="AA23" s="217"/>
      <c r="AB23" s="279"/>
      <c r="AC23" s="279"/>
      <c r="AD23" s="97"/>
      <c r="AE23" s="178"/>
    </row>
    <row r="24" s="3" customFormat="1" ht="17.1" customHeight="1" spans="1:32">
      <c r="A24" s="1253" t="s">
        <v>175</v>
      </c>
      <c r="B24" s="1197"/>
      <c r="C24" s="1197"/>
      <c r="D24" s="1197"/>
      <c r="E24" s="1197"/>
      <c r="F24" s="1197"/>
      <c r="G24" s="1197"/>
      <c r="H24" s="1197"/>
      <c r="I24" s="1197"/>
      <c r="J24" s="933">
        <f>SUM(J4:J23)</f>
        <v>17190</v>
      </c>
      <c r="K24" s="95"/>
      <c r="L24" s="95">
        <f t="shared" ref="L24:Q24" si="3">SUM(L4:L23)</f>
        <v>4992</v>
      </c>
      <c r="M24" s="95">
        <f t="shared" si="3"/>
        <v>4992</v>
      </c>
      <c r="N24" s="95">
        <f t="shared" si="3"/>
        <v>8736</v>
      </c>
      <c r="O24" s="95">
        <f t="shared" si="3"/>
        <v>4992</v>
      </c>
      <c r="P24" s="95">
        <f t="shared" si="3"/>
        <v>4992</v>
      </c>
      <c r="Q24" s="95">
        <f t="shared" si="3"/>
        <v>4992</v>
      </c>
      <c r="R24" s="95"/>
      <c r="S24" s="95"/>
      <c r="T24" s="95"/>
      <c r="U24" s="96"/>
      <c r="V24" s="96"/>
      <c r="W24" s="96"/>
      <c r="X24" s="96"/>
      <c r="Y24" s="96"/>
      <c r="Z24" s="96"/>
      <c r="AA24" s="97"/>
      <c r="AB24" s="97"/>
      <c r="AC24" s="97"/>
      <c r="AD24" s="97"/>
      <c r="AE24" s="98"/>
    </row>
    <row r="25" s="4" customFormat="1" ht="17.1" customHeight="1" spans="1:32">
      <c r="A25" s="1254"/>
      <c r="B25" s="1198"/>
      <c r="C25" s="1198"/>
      <c r="D25" s="1198"/>
      <c r="E25" s="1198"/>
      <c r="F25" s="1198"/>
      <c r="G25" s="1198"/>
      <c r="H25" s="1198"/>
      <c r="I25" s="1198"/>
      <c r="J25" s="1274"/>
      <c r="K25" s="1275"/>
      <c r="L25" s="1276">
        <f>2967+336+1689</f>
        <v>4992</v>
      </c>
      <c r="M25" s="1276">
        <f>2967+336+1689</f>
        <v>4992</v>
      </c>
      <c r="N25" s="1276">
        <f>2967+4080+1689</f>
        <v>8736</v>
      </c>
      <c r="O25" s="1276">
        <f>2967+336+1689</f>
        <v>4992</v>
      </c>
      <c r="P25" s="1276">
        <f>2967+336+1689</f>
        <v>4992</v>
      </c>
      <c r="Q25" s="1276">
        <f>2967+336+1689</f>
        <v>4992</v>
      </c>
      <c r="R25" s="147"/>
      <c r="S25" s="147"/>
      <c r="T25" s="147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2"/>
    </row>
    <row r="26" s="4" customFormat="1" ht="19.5" customHeight="1" spans="1:32">
      <c r="A26" s="1138" t="s">
        <v>67</v>
      </c>
      <c r="B26" s="1139"/>
      <c r="C26" s="1139"/>
      <c r="D26" s="1139"/>
      <c r="E26" s="1139"/>
      <c r="F26" s="1139"/>
      <c r="G26" s="1139"/>
      <c r="H26" s="1139"/>
      <c r="I26" s="1139"/>
      <c r="J26" s="838">
        <f>SUM(L26:Q26)</f>
        <v>0</v>
      </c>
      <c r="K26" s="245"/>
      <c r="L26" s="106">
        <f t="shared" ref="L26:Q26" si="4">L25-L24</f>
        <v>0</v>
      </c>
      <c r="M26" s="106">
        <f t="shared" si="4"/>
        <v>0</v>
      </c>
      <c r="N26" s="106">
        <f t="shared" si="4"/>
        <v>0</v>
      </c>
      <c r="O26" s="106">
        <f t="shared" si="4"/>
        <v>0</v>
      </c>
      <c r="P26" s="106">
        <f t="shared" si="4"/>
        <v>0</v>
      </c>
      <c r="Q26" s="106">
        <f t="shared" si="4"/>
        <v>0</v>
      </c>
      <c r="R26" s="106"/>
      <c r="S26" s="106"/>
      <c r="T26" s="106"/>
      <c r="U26" s="106"/>
      <c r="V26" s="106"/>
      <c r="W26" s="106"/>
      <c r="X26" s="106"/>
      <c r="Y26" s="106"/>
      <c r="Z26" s="107"/>
      <c r="AA26" s="107"/>
      <c r="AB26" s="107"/>
      <c r="AC26" s="107"/>
      <c r="AD26" s="107"/>
      <c r="AE26" s="109"/>
    </row>
    <row r="27" s="171" customFormat="1" ht="15.75" customHeight="1" spans="1:32">
      <c r="B27" s="1277" t="s">
        <v>68</v>
      </c>
      <c r="C27" s="1277"/>
      <c r="D27" s="1278"/>
      <c r="E27" s="1278"/>
      <c r="F27" s="1278"/>
      <c r="G27" s="1279"/>
      <c r="H27" s="1279"/>
      <c r="I27" s="1279"/>
      <c r="J27" s="1280"/>
      <c r="L27" s="1281"/>
      <c r="M27" s="1281"/>
      <c r="N27" s="1281"/>
      <c r="O27" s="1281"/>
      <c r="P27" s="1281"/>
      <c r="Q27" s="1281"/>
      <c r="AB27" s="255"/>
      <c r="AC27" s="255"/>
      <c r="AD27" s="255"/>
    </row>
    <row r="28" spans="1:32">
      <c r="P28" s="1281"/>
    </row>
  </sheetData>
  <autoFilter xmlns:etc="http://www.wps.cn/officeDocument/2017/etCustomData" ref="A3:AF27" etc:filterBottomFollowUsedRange="0">
    <filterColumn colId="29">
      <filters blank="1"/>
    </filterColumn>
    <extLst/>
  </autoFilter>
  <mergeCells count="31">
    <mergeCell ref="A1:Z1"/>
    <mergeCell ref="AA1:AC1"/>
    <mergeCell ref="AD1:AE1"/>
    <mergeCell ref="L2:Q2"/>
    <mergeCell ref="R2:T2"/>
    <mergeCell ref="A24:I24"/>
    <mergeCell ref="A25:I25"/>
    <mergeCell ref="A26:I26"/>
    <mergeCell ref="G27:I2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</mergeCells>
  <conditionalFormatting sqref="L23:Q23">
    <cfRule type="cellIs" dxfId="0" priority="2" operator="lessThan">
      <formula>0</formula>
    </cfRule>
  </conditionalFormatting>
  <conditionalFormatting sqref="L26:Z26">
    <cfRule type="cellIs" dxfId="0" priority="1" operator="lessThan">
      <formula>0</formula>
    </cfRule>
  </conditionalFormatting>
  <printOptions horizontalCentered="1"/>
  <pageMargins left="0.31496062992126" right="0.31496062992126" top="0.551181102362205" bottom="0.551181102362205" header="0.31496062992126" footer="0.31496062992126"/>
  <pageSetup paperSize="9" scale="55" orientation="landscape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9"/>
  <sheetViews>
    <sheetView view="pageBreakPreview" zoomScaleNormal="100" workbookViewId="0">
      <pane xSplit="4" ySplit="3" topLeftCell="E4" activePane="bottomRight" state="frozen"/>
      <selection/>
      <selection pane="topRight"/>
      <selection pane="bottomLeft"/>
      <selection pane="bottomRight" activeCell="Q22" sqref="Q22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4" width="13.5" customWidth="1"/>
    <col min="5" max="8" width="6.5" customWidth="1"/>
    <col min="9" max="9" width="9.625" customWidth="1"/>
    <col min="10" max="10" width="4.625" customWidth="1"/>
    <col min="11" max="11" width="8" customWidth="1"/>
    <col min="12" max="12" width="5.625" customWidth="1"/>
    <col min="13" max="13" width="5.875" customWidth="1"/>
    <col min="14" max="14" width="5.375" customWidth="1"/>
    <col min="15" max="16" width="5.125" customWidth="1"/>
    <col min="17" max="17" width="6.125" customWidth="1"/>
    <col min="18" max="18" width="8.875" customWidth="1"/>
    <col min="19" max="19" width="25" customWidth="1"/>
    <col min="20" max="20" width="8.375" customWidth="1"/>
    <col min="21" max="21" width="8.5" style="193" customWidth="1"/>
    <col min="22" max="22" width="7.625" style="193" customWidth="1"/>
    <col min="23" max="23" width="7.375" style="193" customWidth="1"/>
    <col min="24" max="24" width="19.125" customWidth="1"/>
    <col min="25" max="25" width="19" customWidth="1"/>
  </cols>
  <sheetData>
    <row r="1" ht="36.75" customHeight="1" spans="1:24">
      <c r="A1" s="195" t="s">
        <v>176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7" t="s">
        <v>1</v>
      </c>
      <c r="U1" s="198"/>
      <c r="V1" s="199"/>
      <c r="W1" s="200">
        <f ca="1">TODAY()</f>
        <v>46277</v>
      </c>
      <c r="X1" s="201"/>
    </row>
    <row r="2" s="190" customFormat="1" ht="21.95" customHeight="1" spans="1:24">
      <c r="A2" s="14" t="s">
        <v>2</v>
      </c>
      <c r="B2" s="15" t="s">
        <v>3</v>
      </c>
      <c r="C2" s="15" t="s">
        <v>4</v>
      </c>
      <c r="D2" s="15" t="s">
        <v>5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030" t="s">
        <v>70</v>
      </c>
      <c r="L2" s="1031"/>
      <c r="M2" s="1032"/>
      <c r="N2" s="21" t="s">
        <v>177</v>
      </c>
      <c r="O2" s="21" t="s">
        <v>71</v>
      </c>
      <c r="P2" s="22" t="s">
        <v>178</v>
      </c>
      <c r="Q2" s="21" t="s">
        <v>19</v>
      </c>
      <c r="R2" s="22" t="s">
        <v>20</v>
      </c>
      <c r="S2" s="24" t="s">
        <v>21</v>
      </c>
      <c r="T2" s="19" t="s">
        <v>22</v>
      </c>
      <c r="U2" s="204" t="s">
        <v>23</v>
      </c>
      <c r="V2" s="204" t="s">
        <v>24</v>
      </c>
      <c r="W2" s="204" t="s">
        <v>25</v>
      </c>
      <c r="X2" s="27" t="s">
        <v>26</v>
      </c>
    </row>
    <row r="3" s="190" customFormat="1" ht="24.95" customHeight="1" spans="1:24">
      <c r="A3" s="14"/>
      <c r="B3" s="15"/>
      <c r="C3" s="15"/>
      <c r="D3" s="15"/>
      <c r="E3" s="15"/>
      <c r="F3" s="15"/>
      <c r="G3" s="15"/>
      <c r="H3" s="15"/>
      <c r="I3" s="15"/>
      <c r="J3" s="15"/>
      <c r="K3" s="1033" t="s">
        <v>73</v>
      </c>
      <c r="L3" s="1033" t="s">
        <v>74</v>
      </c>
      <c r="M3" s="1033" t="s">
        <v>75</v>
      </c>
      <c r="N3" s="21"/>
      <c r="O3" s="21"/>
      <c r="P3" s="32"/>
      <c r="Q3" s="21"/>
      <c r="R3" s="32"/>
      <c r="S3" s="24"/>
      <c r="T3" s="19"/>
      <c r="U3" s="204"/>
      <c r="V3" s="204"/>
      <c r="W3" s="204"/>
      <c r="X3" s="27"/>
    </row>
    <row r="4" s="3" customFormat="1" ht="30" customHeight="1" spans="1:24">
      <c r="A4" s="215"/>
      <c r="B4" s="1247"/>
      <c r="C4" s="1248"/>
      <c r="D4" s="1249"/>
      <c r="E4" s="1250"/>
      <c r="F4" s="1250"/>
      <c r="G4" s="1250"/>
      <c r="H4" s="1251"/>
      <c r="I4" s="1252"/>
      <c r="J4" s="95"/>
      <c r="K4" s="219"/>
      <c r="L4" s="219"/>
      <c r="M4" s="219"/>
      <c r="N4" s="96"/>
      <c r="O4" s="97"/>
      <c r="P4" s="97"/>
      <c r="Q4" s="297"/>
      <c r="R4" s="297"/>
      <c r="S4" s="183"/>
      <c r="T4" s="695"/>
      <c r="U4" s="222"/>
      <c r="V4" s="222"/>
      <c r="W4" s="223"/>
      <c r="X4" s="178"/>
    </row>
    <row r="5" s="3" customFormat="1" ht="27" customHeight="1" spans="1:24">
      <c r="A5" s="215"/>
      <c r="B5" s="183"/>
      <c r="C5" s="96"/>
      <c r="D5" s="216"/>
      <c r="E5" s="217"/>
      <c r="F5" s="217"/>
      <c r="G5" s="217"/>
      <c r="H5" s="218"/>
      <c r="I5" s="95"/>
      <c r="J5" s="95"/>
      <c r="K5" s="219"/>
      <c r="L5" s="219"/>
      <c r="M5" s="219"/>
      <c r="N5" s="96"/>
      <c r="O5" s="279"/>
      <c r="P5" s="279"/>
      <c r="Q5" s="183"/>
      <c r="R5" s="183"/>
      <c r="S5" s="183"/>
      <c r="T5" s="97"/>
      <c r="U5" s="222"/>
      <c r="V5" s="97"/>
      <c r="W5" s="97"/>
      <c r="X5" s="178"/>
    </row>
    <row r="6" s="3" customFormat="1" ht="17.1" customHeight="1" spans="1:24">
      <c r="A6" s="1253" t="s">
        <v>175</v>
      </c>
      <c r="B6" s="1197"/>
      <c r="C6" s="1197"/>
      <c r="D6" s="1197"/>
      <c r="E6" s="1197"/>
      <c r="F6" s="1197"/>
      <c r="G6" s="1197"/>
      <c r="H6" s="1197"/>
      <c r="I6" s="95">
        <f>SUM(I4:I5)</f>
        <v>0</v>
      </c>
      <c r="J6" s="95"/>
      <c r="K6" s="95"/>
      <c r="L6" s="95"/>
      <c r="M6" s="95"/>
      <c r="N6" s="96"/>
      <c r="O6" s="96"/>
      <c r="P6" s="96"/>
      <c r="Q6" s="96"/>
      <c r="R6" s="96"/>
      <c r="S6" s="96"/>
      <c r="T6" s="97"/>
      <c r="U6" s="97"/>
      <c r="V6" s="97"/>
      <c r="W6" s="97"/>
      <c r="X6" s="98"/>
    </row>
    <row r="7" s="4" customFormat="1" ht="17.1" customHeight="1" spans="1:24">
      <c r="A7" s="1254"/>
      <c r="B7" s="1198"/>
      <c r="C7" s="1198"/>
      <c r="D7" s="1198"/>
      <c r="E7" s="1198"/>
      <c r="F7" s="1198"/>
      <c r="G7" s="1198"/>
      <c r="H7" s="1198"/>
      <c r="I7" s="133">
        <f>2286</f>
        <v>2286</v>
      </c>
      <c r="J7" s="100"/>
      <c r="K7" s="147"/>
      <c r="L7" s="147"/>
      <c r="M7" s="147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2"/>
    </row>
    <row r="8" s="4" customFormat="1" ht="19.5" customHeight="1" spans="1:24">
      <c r="A8" s="1255" t="s">
        <v>67</v>
      </c>
      <c r="B8" s="1256"/>
      <c r="C8" s="1256"/>
      <c r="D8" s="1256"/>
      <c r="E8" s="1256"/>
      <c r="F8" s="1256"/>
      <c r="G8" s="1256"/>
      <c r="H8" s="1257"/>
      <c r="I8" s="244">
        <f>I7-I6</f>
        <v>2286</v>
      </c>
      <c r="J8" s="245"/>
      <c r="K8" s="106"/>
      <c r="L8" s="106"/>
      <c r="M8" s="106"/>
      <c r="N8" s="106"/>
      <c r="O8" s="106"/>
      <c r="P8" s="106"/>
      <c r="Q8" s="106"/>
      <c r="R8" s="106"/>
      <c r="S8" s="106"/>
      <c r="T8" s="107"/>
      <c r="U8" s="107"/>
      <c r="V8" s="107"/>
      <c r="W8" s="107"/>
      <c r="X8" s="109"/>
    </row>
    <row r="9" spans="1:24">
      <c r="B9" s="110" t="s">
        <v>68</v>
      </c>
      <c r="C9" s="110"/>
      <c r="D9" s="111"/>
      <c r="E9" s="111"/>
      <c r="F9" s="1258"/>
      <c r="G9" s="1258"/>
      <c r="H9" s="1258"/>
      <c r="I9" s="1259"/>
    </row>
  </sheetData>
  <autoFilter xmlns:etc="http://www.wps.cn/officeDocument/2017/etCustomData" ref="A3:Y4" etc:filterBottomFollowUsedRange="0">
    <extLst/>
  </autoFilter>
  <mergeCells count="29">
    <mergeCell ref="A1:S1"/>
    <mergeCell ref="T1:V1"/>
    <mergeCell ref="W1:X1"/>
    <mergeCell ref="K2:M2"/>
    <mergeCell ref="A6:H6"/>
    <mergeCell ref="A7:H7"/>
    <mergeCell ref="A8:H8"/>
    <mergeCell ref="F9:H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</mergeCells>
  <conditionalFormatting sqref="K8:S8">
    <cfRule type="cellIs" dxfId="0" priority="1" operator="lessThan">
      <formula>0</formula>
    </cfRule>
  </conditionalFormatting>
  <printOptions horizontalCentered="1"/>
  <pageMargins left="0.118110236220472" right="0.118110236220472" top="0.196850393700787" bottom="0.196850393700787" header="0.31496062992126" footer="0.31496062992126"/>
  <pageSetup paperSize="9" scale="67" orientation="landscape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E31"/>
  <sheetViews>
    <sheetView view="pageBreakPreview" zoomScaleNormal="100" workbookViewId="0">
      <pane xSplit="11" ySplit="3" topLeftCell="L16" activePane="bottomRight" state="frozen"/>
      <selection/>
      <selection pane="topRight"/>
      <selection pane="bottomLeft"/>
      <selection pane="bottomRight" activeCell="O19" sqref="O19"/>
    </sheetView>
  </sheetViews>
  <sheetFormatPr defaultColWidth="9" defaultRowHeight="14.25"/>
  <cols>
    <col min="1" max="1" width="3.875" customWidth="1"/>
    <col min="2" max="2" width="6.625" customWidth="1"/>
    <col min="3" max="3" width="7.125" customWidth="1"/>
    <col min="4" max="5" width="10.625" style="192" customWidth="1"/>
    <col min="6" max="9" width="6" customWidth="1"/>
    <col min="10" max="10" width="8.125" customWidth="1"/>
    <col min="11" max="11" width="5.125" customWidth="1"/>
    <col min="12" max="15" width="7.875" customWidth="1"/>
    <col min="16" max="17" width="4.5" style="288" customWidth="1"/>
    <col min="18" max="18" width="8.125" customWidth="1"/>
    <col min="19" max="19" width="5.375" customWidth="1"/>
    <col min="20" max="20" width="6.625" customWidth="1"/>
    <col min="21" max="21" width="6.875" customWidth="1"/>
    <col min="22" max="22" width="19.625" customWidth="1"/>
    <col min="23" max="23" width="8" customWidth="1"/>
    <col min="24" max="24" width="8.875" style="193" customWidth="1"/>
    <col min="25" max="25" width="6.375" style="193" customWidth="1"/>
    <col min="26" max="26" width="7.625" style="1195" customWidth="1"/>
    <col min="27" max="27" width="14" style="194" customWidth="1"/>
    <col min="28" max="28" width="19.125" style="193" customWidth="1"/>
    <col min="29" max="29" width="8.625" style="6" customWidth="1"/>
    <col min="30" max="30" width="9" style="288" customWidth="1"/>
    <col min="31" max="31" width="9.625" style="288" customWidth="1"/>
  </cols>
  <sheetData>
    <row r="1" ht="37.5" customHeight="1" spans="1:31">
      <c r="A1" s="926" t="s">
        <v>179</v>
      </c>
      <c r="B1" s="927"/>
      <c r="C1" s="927"/>
      <c r="D1" s="927"/>
      <c r="E1" s="927"/>
      <c r="F1" s="927"/>
      <c r="G1" s="927"/>
      <c r="H1" s="927"/>
      <c r="I1" s="927"/>
      <c r="J1" s="927"/>
      <c r="K1" s="927"/>
      <c r="L1" s="927"/>
      <c r="M1" s="927"/>
      <c r="N1" s="927"/>
      <c r="O1" s="927"/>
      <c r="P1" s="927"/>
      <c r="Q1" s="927"/>
      <c r="R1" s="927"/>
      <c r="S1" s="927"/>
      <c r="T1" s="927"/>
      <c r="U1" s="927"/>
      <c r="V1" s="928"/>
      <c r="W1" s="197" t="s">
        <v>1</v>
      </c>
      <c r="X1" s="198"/>
      <c r="Y1" s="199"/>
      <c r="Z1" s="200">
        <f ca="1">TODAY()</f>
        <v>46277</v>
      </c>
      <c r="AA1" s="201"/>
    </row>
    <row r="2" s="1237" customFormat="1" ht="21.95" customHeight="1" spans="1:31">
      <c r="A2" s="14" t="s">
        <v>2</v>
      </c>
      <c r="B2" s="470" t="s">
        <v>3</v>
      </c>
      <c r="C2" s="470" t="s">
        <v>4</v>
      </c>
      <c r="D2" s="470" t="s">
        <v>5</v>
      </c>
      <c r="E2" s="93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937" t="s">
        <v>13</v>
      </c>
      <c r="M2" s="938"/>
      <c r="N2" s="938"/>
      <c r="O2" s="939"/>
      <c r="P2" s="472" t="s">
        <v>180</v>
      </c>
      <c r="Q2" s="472"/>
      <c r="R2" s="472"/>
      <c r="S2" s="21" t="s">
        <v>15</v>
      </c>
      <c r="T2" s="22" t="s">
        <v>181</v>
      </c>
      <c r="U2" s="474" t="s">
        <v>19</v>
      </c>
      <c r="V2" s="475" t="s">
        <v>21</v>
      </c>
      <c r="W2" s="19" t="s">
        <v>22</v>
      </c>
      <c r="X2" s="1238" t="s">
        <v>23</v>
      </c>
      <c r="Y2" s="204" t="s">
        <v>24</v>
      </c>
      <c r="Z2" s="204" t="s">
        <v>25</v>
      </c>
      <c r="AA2" s="476" t="s">
        <v>26</v>
      </c>
      <c r="AB2" s="1239"/>
      <c r="AC2" s="1"/>
      <c r="AD2" s="1240"/>
      <c r="AE2" s="1240"/>
    </row>
    <row r="3" s="1237" customFormat="1" ht="28.5" customHeight="1" spans="1:31">
      <c r="A3" s="14"/>
      <c r="B3" s="470"/>
      <c r="C3" s="470"/>
      <c r="D3" s="470"/>
      <c r="E3" s="941"/>
      <c r="F3" s="15"/>
      <c r="G3" s="15"/>
      <c r="H3" s="15"/>
      <c r="I3" s="15"/>
      <c r="J3" s="15"/>
      <c r="K3" s="15"/>
      <c r="L3" s="264" t="s">
        <v>182</v>
      </c>
      <c r="M3" s="264" t="s">
        <v>183</v>
      </c>
      <c r="N3" s="264" t="s">
        <v>184</v>
      </c>
      <c r="O3" s="264" t="s">
        <v>185</v>
      </c>
      <c r="P3" s="942" t="s">
        <v>186</v>
      </c>
      <c r="Q3" s="19" t="s">
        <v>187</v>
      </c>
      <c r="R3" s="19" t="s">
        <v>73</v>
      </c>
      <c r="S3" s="21"/>
      <c r="T3" s="32"/>
      <c r="U3" s="474"/>
      <c r="V3" s="475"/>
      <c r="W3" s="19"/>
      <c r="X3" s="1238"/>
      <c r="Y3" s="204"/>
      <c r="Z3" s="204"/>
      <c r="AA3" s="476"/>
      <c r="AB3" s="1239" t="s">
        <v>65</v>
      </c>
      <c r="AC3" s="1" t="s">
        <v>188</v>
      </c>
      <c r="AD3" s="1" t="s">
        <v>189</v>
      </c>
      <c r="AE3" s="1" t="s">
        <v>190</v>
      </c>
    </row>
    <row r="4" s="3" customFormat="1" ht="27" customHeight="1" spans="1:31">
      <c r="A4" s="208">
        <f t="shared" ref="A4:A17" si="0">ROW()-3</f>
        <v>1</v>
      </c>
      <c r="B4" s="48" t="s">
        <v>191</v>
      </c>
      <c r="C4" s="49" t="s">
        <v>192</v>
      </c>
      <c r="D4" s="51" t="s">
        <v>193</v>
      </c>
      <c r="E4" s="51"/>
      <c r="F4" s="52">
        <v>45971</v>
      </c>
      <c r="G4" s="52">
        <v>46038</v>
      </c>
      <c r="H4" s="52">
        <v>46038</v>
      </c>
      <c r="I4" s="53">
        <v>45972</v>
      </c>
      <c r="J4" s="175">
        <v>1560</v>
      </c>
      <c r="K4" s="175">
        <v>2</v>
      </c>
      <c r="L4" s="175">
        <v>1560</v>
      </c>
      <c r="M4" s="175"/>
      <c r="N4" s="175"/>
      <c r="O4" s="175"/>
      <c r="P4" s="48" t="s">
        <v>194</v>
      </c>
      <c r="Q4" s="49" t="s">
        <v>81</v>
      </c>
      <c r="R4" s="49" t="s">
        <v>195</v>
      </c>
      <c r="S4" s="49" t="s">
        <v>196</v>
      </c>
      <c r="T4" s="211" t="s">
        <v>197</v>
      </c>
      <c r="U4" s="211" t="s">
        <v>197</v>
      </c>
      <c r="V4" s="613" t="s">
        <v>198</v>
      </c>
      <c r="W4" s="992">
        <v>46036</v>
      </c>
      <c r="X4" s="1241">
        <v>46037</v>
      </c>
      <c r="Y4" s="176"/>
      <c r="Z4" s="176">
        <v>46049</v>
      </c>
      <c r="AA4" s="1283" t="s">
        <v>199</v>
      </c>
      <c r="AB4" s="3" t="s">
        <v>200</v>
      </c>
      <c r="AC4" s="159"/>
      <c r="AD4" s="159"/>
      <c r="AE4" s="159"/>
    </row>
    <row r="5" s="3" customFormat="1" ht="27" customHeight="1" spans="1:31">
      <c r="A5" s="208">
        <f t="shared" si="0"/>
        <v>2</v>
      </c>
      <c r="B5" s="48" t="s">
        <v>191</v>
      </c>
      <c r="C5" s="49" t="s">
        <v>192</v>
      </c>
      <c r="D5" s="51" t="s">
        <v>201</v>
      </c>
      <c r="E5" s="51"/>
      <c r="F5" s="52">
        <v>45971</v>
      </c>
      <c r="G5" s="52">
        <v>46038</v>
      </c>
      <c r="H5" s="52">
        <v>46038</v>
      </c>
      <c r="I5" s="53">
        <v>45972</v>
      </c>
      <c r="J5" s="175">
        <v>1440</v>
      </c>
      <c r="K5" s="175">
        <v>2</v>
      </c>
      <c r="L5" s="175">
        <v>1440</v>
      </c>
      <c r="M5" s="175"/>
      <c r="N5" s="175"/>
      <c r="O5" s="175"/>
      <c r="P5" s="48" t="s">
        <v>194</v>
      </c>
      <c r="Q5" s="49" t="s">
        <v>81</v>
      </c>
      <c r="R5" s="49" t="s">
        <v>195</v>
      </c>
      <c r="S5" s="49" t="s">
        <v>196</v>
      </c>
      <c r="T5" s="211" t="s">
        <v>197</v>
      </c>
      <c r="U5" s="211" t="s">
        <v>197</v>
      </c>
      <c r="V5" s="613" t="s">
        <v>198</v>
      </c>
      <c r="W5" s="992">
        <v>46036</v>
      </c>
      <c r="X5" s="1241">
        <v>46037</v>
      </c>
      <c r="Y5" s="176"/>
      <c r="Z5" s="176">
        <v>46046</v>
      </c>
      <c r="AA5" s="1283" t="s">
        <v>202</v>
      </c>
      <c r="AB5" s="3" t="s">
        <v>200</v>
      </c>
      <c r="AC5" s="159"/>
      <c r="AD5" s="159"/>
      <c r="AE5" s="159"/>
    </row>
    <row r="6" s="3" customFormat="1" ht="27" customHeight="1" spans="1:31">
      <c r="A6" s="208">
        <f t="shared" si="0"/>
        <v>3</v>
      </c>
      <c r="B6" s="48" t="s">
        <v>191</v>
      </c>
      <c r="C6" s="49" t="s">
        <v>192</v>
      </c>
      <c r="D6" s="51" t="s">
        <v>203</v>
      </c>
      <c r="E6" s="51"/>
      <c r="F6" s="52">
        <v>45971</v>
      </c>
      <c r="G6" s="52">
        <v>46038</v>
      </c>
      <c r="H6" s="52">
        <v>46038</v>
      </c>
      <c r="I6" s="53">
        <v>45972</v>
      </c>
      <c r="J6" s="175">
        <v>1080</v>
      </c>
      <c r="K6" s="175">
        <v>2</v>
      </c>
      <c r="L6" s="175">
        <v>1080</v>
      </c>
      <c r="M6" s="175"/>
      <c r="N6" s="175"/>
      <c r="O6" s="175"/>
      <c r="P6" s="48" t="s">
        <v>194</v>
      </c>
      <c r="Q6" s="49" t="s">
        <v>81</v>
      </c>
      <c r="R6" s="49" t="s">
        <v>195</v>
      </c>
      <c r="S6" s="49" t="s">
        <v>196</v>
      </c>
      <c r="T6" s="211" t="s">
        <v>197</v>
      </c>
      <c r="U6" s="211" t="s">
        <v>197</v>
      </c>
      <c r="V6" s="613" t="s">
        <v>198</v>
      </c>
      <c r="W6" s="992">
        <v>46036</v>
      </c>
      <c r="X6" s="1241">
        <v>46037</v>
      </c>
      <c r="Y6" s="176"/>
      <c r="Z6" s="176">
        <v>46049</v>
      </c>
      <c r="AA6" s="1283" t="s">
        <v>204</v>
      </c>
      <c r="AB6" s="3" t="s">
        <v>200</v>
      </c>
      <c r="AC6" s="159"/>
      <c r="AD6" s="159"/>
      <c r="AE6" s="159"/>
    </row>
    <row r="7" s="3" customFormat="1" ht="27" customHeight="1" spans="1:31">
      <c r="A7" s="208">
        <f t="shared" si="0"/>
        <v>4</v>
      </c>
      <c r="B7" s="48" t="s">
        <v>191</v>
      </c>
      <c r="C7" s="49" t="s">
        <v>192</v>
      </c>
      <c r="D7" s="51" t="s">
        <v>205</v>
      </c>
      <c r="E7" s="51"/>
      <c r="F7" s="52">
        <v>45971</v>
      </c>
      <c r="G7" s="52">
        <v>46038</v>
      </c>
      <c r="H7" s="52">
        <v>46038</v>
      </c>
      <c r="I7" s="53">
        <v>45972</v>
      </c>
      <c r="J7" s="175">
        <v>1800</v>
      </c>
      <c r="K7" s="175">
        <v>2</v>
      </c>
      <c r="L7" s="175">
        <v>1800</v>
      </c>
      <c r="M7" s="175"/>
      <c r="N7" s="175"/>
      <c r="O7" s="175"/>
      <c r="P7" s="48" t="s">
        <v>194</v>
      </c>
      <c r="Q7" s="49" t="s">
        <v>81</v>
      </c>
      <c r="R7" s="49" t="s">
        <v>195</v>
      </c>
      <c r="S7" s="49" t="s">
        <v>196</v>
      </c>
      <c r="T7" s="211" t="s">
        <v>197</v>
      </c>
      <c r="U7" s="211" t="s">
        <v>197</v>
      </c>
      <c r="V7" s="613" t="s">
        <v>198</v>
      </c>
      <c r="W7" s="992">
        <v>46036</v>
      </c>
      <c r="X7" s="1241">
        <v>46037</v>
      </c>
      <c r="Y7" s="176"/>
      <c r="Z7" s="176">
        <v>46044</v>
      </c>
      <c r="AA7" s="1283" t="s">
        <v>206</v>
      </c>
      <c r="AB7" s="3" t="s">
        <v>200</v>
      </c>
      <c r="AC7" s="159"/>
      <c r="AD7" s="159"/>
      <c r="AE7" s="159"/>
    </row>
    <row r="8" s="3" customFormat="1" ht="27" customHeight="1" spans="1:31">
      <c r="A8" s="208">
        <f t="shared" si="0"/>
        <v>5</v>
      </c>
      <c r="B8" s="48" t="s">
        <v>191</v>
      </c>
      <c r="C8" s="49" t="s">
        <v>192</v>
      </c>
      <c r="D8" s="50" t="s">
        <v>207</v>
      </c>
      <c r="E8" s="50"/>
      <c r="F8" s="52">
        <v>45971</v>
      </c>
      <c r="G8" s="52">
        <v>46038</v>
      </c>
      <c r="H8" s="52">
        <v>46038</v>
      </c>
      <c r="I8" s="53">
        <v>45972</v>
      </c>
      <c r="J8" s="175">
        <v>2280</v>
      </c>
      <c r="K8" s="175">
        <v>2</v>
      </c>
      <c r="L8" s="175">
        <v>2280</v>
      </c>
      <c r="M8" s="175"/>
      <c r="N8" s="175"/>
      <c r="O8" s="175"/>
      <c r="P8" s="48" t="s">
        <v>194</v>
      </c>
      <c r="Q8" s="49" t="s">
        <v>81</v>
      </c>
      <c r="R8" s="49" t="s">
        <v>195</v>
      </c>
      <c r="S8" s="49" t="s">
        <v>196</v>
      </c>
      <c r="T8" s="211" t="s">
        <v>197</v>
      </c>
      <c r="U8" s="211" t="s">
        <v>197</v>
      </c>
      <c r="V8" s="613" t="s">
        <v>198</v>
      </c>
      <c r="W8" s="992">
        <v>46036</v>
      </c>
      <c r="X8" s="1241">
        <v>46037</v>
      </c>
      <c r="Y8" s="176"/>
      <c r="Z8" s="176">
        <v>46052</v>
      </c>
      <c r="AA8" s="213" t="s">
        <v>208</v>
      </c>
      <c r="AB8" s="3" t="s">
        <v>200</v>
      </c>
      <c r="AC8" s="159"/>
      <c r="AD8" s="159"/>
      <c r="AE8" s="159"/>
    </row>
    <row r="9" s="3" customFormat="1" ht="27" customHeight="1" spans="1:31">
      <c r="A9" s="208">
        <f t="shared" si="0"/>
        <v>6</v>
      </c>
      <c r="B9" s="48" t="s">
        <v>209</v>
      </c>
      <c r="C9" s="49" t="s">
        <v>192</v>
      </c>
      <c r="D9" s="50" t="s">
        <v>210</v>
      </c>
      <c r="E9" s="50" t="s">
        <v>211</v>
      </c>
      <c r="F9" s="52">
        <v>46000</v>
      </c>
      <c r="G9" s="52">
        <v>46058</v>
      </c>
      <c r="H9" s="52">
        <v>46058</v>
      </c>
      <c r="I9" s="53">
        <v>46002</v>
      </c>
      <c r="J9" s="175">
        <f t="shared" ref="J9:J17" si="1">SUM(L9:O9)</f>
        <v>2160</v>
      </c>
      <c r="K9" s="175">
        <v>2</v>
      </c>
      <c r="L9" s="175">
        <v>2160</v>
      </c>
      <c r="M9" s="175"/>
      <c r="N9" s="175"/>
      <c r="O9" s="175"/>
      <c r="P9" s="1076" t="s">
        <v>212</v>
      </c>
      <c r="Q9" s="969" t="s">
        <v>81</v>
      </c>
      <c r="R9" s="969" t="s">
        <v>213</v>
      </c>
      <c r="S9" s="49" t="s">
        <v>196</v>
      </c>
      <c r="T9" s="211" t="s">
        <v>214</v>
      </c>
      <c r="U9" s="211" t="s">
        <v>214</v>
      </c>
      <c r="V9" s="613" t="s">
        <v>215</v>
      </c>
      <c r="W9" s="992">
        <v>46056</v>
      </c>
      <c r="X9" s="211">
        <v>46056</v>
      </c>
      <c r="Y9" s="176"/>
      <c r="Z9" s="176">
        <v>46083</v>
      </c>
      <c r="AA9" s="1284" t="s">
        <v>216</v>
      </c>
      <c r="AB9" s="3" t="s">
        <v>200</v>
      </c>
      <c r="AC9" s="159"/>
      <c r="AD9" s="159"/>
      <c r="AE9" s="159"/>
    </row>
    <row r="10" s="3" customFormat="1" ht="27" customHeight="1" spans="1:31">
      <c r="A10" s="208">
        <f t="shared" si="0"/>
        <v>7</v>
      </c>
      <c r="B10" s="48" t="s">
        <v>209</v>
      </c>
      <c r="C10" s="49" t="s">
        <v>192</v>
      </c>
      <c r="D10" s="50" t="s">
        <v>217</v>
      </c>
      <c r="E10" s="50" t="s">
        <v>211</v>
      </c>
      <c r="F10" s="52">
        <v>46000</v>
      </c>
      <c r="G10" s="52">
        <v>46058</v>
      </c>
      <c r="H10" s="52">
        <v>46058</v>
      </c>
      <c r="I10" s="53">
        <v>46002</v>
      </c>
      <c r="J10" s="175">
        <f t="shared" si="1"/>
        <v>3480</v>
      </c>
      <c r="K10" s="175">
        <v>2</v>
      </c>
      <c r="L10" s="175">
        <v>3480</v>
      </c>
      <c r="M10" s="175"/>
      <c r="N10" s="175"/>
      <c r="O10" s="175"/>
      <c r="P10" s="1076" t="s">
        <v>212</v>
      </c>
      <c r="Q10" s="969" t="s">
        <v>81</v>
      </c>
      <c r="R10" s="969" t="s">
        <v>213</v>
      </c>
      <c r="S10" s="49" t="s">
        <v>196</v>
      </c>
      <c r="T10" s="211" t="s">
        <v>214</v>
      </c>
      <c r="U10" s="211" t="s">
        <v>214</v>
      </c>
      <c r="V10" s="613" t="s">
        <v>215</v>
      </c>
      <c r="W10" s="992">
        <v>46056</v>
      </c>
      <c r="X10" s="211">
        <v>46056</v>
      </c>
      <c r="Y10" s="176"/>
      <c r="Z10" s="176">
        <v>46083</v>
      </c>
      <c r="AA10" s="1284" t="s">
        <v>218</v>
      </c>
      <c r="AB10" s="3" t="s">
        <v>200</v>
      </c>
      <c r="AC10" s="159"/>
      <c r="AD10" s="159"/>
      <c r="AE10" s="159"/>
    </row>
    <row r="11" s="3" customFormat="1" ht="27" customHeight="1" spans="1:31">
      <c r="A11" s="208">
        <f t="shared" si="0"/>
        <v>8</v>
      </c>
      <c r="B11" s="48" t="s">
        <v>209</v>
      </c>
      <c r="C11" s="49" t="s">
        <v>192</v>
      </c>
      <c r="D11" s="50" t="s">
        <v>217</v>
      </c>
      <c r="E11" s="50" t="s">
        <v>211</v>
      </c>
      <c r="F11" s="52">
        <v>46000</v>
      </c>
      <c r="G11" s="52">
        <v>46058</v>
      </c>
      <c r="H11" s="52">
        <v>46058</v>
      </c>
      <c r="I11" s="53">
        <v>46002</v>
      </c>
      <c r="J11" s="175">
        <f t="shared" si="1"/>
        <v>1296</v>
      </c>
      <c r="K11" s="175">
        <v>2</v>
      </c>
      <c r="L11" s="175"/>
      <c r="M11" s="175">
        <v>1296</v>
      </c>
      <c r="N11" s="175"/>
      <c r="O11" s="175"/>
      <c r="P11" s="1076" t="s">
        <v>212</v>
      </c>
      <c r="Q11" s="969" t="s">
        <v>81</v>
      </c>
      <c r="R11" s="969" t="s">
        <v>213</v>
      </c>
      <c r="S11" s="49" t="s">
        <v>196</v>
      </c>
      <c r="T11" s="211" t="s">
        <v>214</v>
      </c>
      <c r="U11" s="211" t="s">
        <v>214</v>
      </c>
      <c r="V11" s="613" t="s">
        <v>219</v>
      </c>
      <c r="W11" s="992">
        <v>46056</v>
      </c>
      <c r="X11" s="211">
        <v>46056</v>
      </c>
      <c r="Y11" s="176"/>
      <c r="Z11" s="176">
        <v>46083</v>
      </c>
      <c r="AA11" s="1284" t="s">
        <v>218</v>
      </c>
      <c r="AB11" s="3" t="s">
        <v>220</v>
      </c>
      <c r="AC11" s="159"/>
      <c r="AD11" s="159"/>
      <c r="AE11" s="159"/>
    </row>
    <row r="12" s="3" customFormat="1" ht="27" customHeight="1" spans="1:31">
      <c r="A12" s="208">
        <f t="shared" si="0"/>
        <v>9</v>
      </c>
      <c r="B12" s="48" t="s">
        <v>209</v>
      </c>
      <c r="C12" s="49" t="s">
        <v>192</v>
      </c>
      <c r="D12" s="50" t="s">
        <v>221</v>
      </c>
      <c r="E12" s="50" t="s">
        <v>211</v>
      </c>
      <c r="F12" s="52">
        <v>46000</v>
      </c>
      <c r="G12" s="52">
        <v>46058</v>
      </c>
      <c r="H12" s="52">
        <v>46058</v>
      </c>
      <c r="I12" s="53">
        <v>46002</v>
      </c>
      <c r="J12" s="175">
        <f t="shared" si="1"/>
        <v>2520</v>
      </c>
      <c r="K12" s="175">
        <v>2</v>
      </c>
      <c r="L12" s="175">
        <v>2520</v>
      </c>
      <c r="M12" s="175"/>
      <c r="N12" s="175"/>
      <c r="O12" s="175"/>
      <c r="P12" s="1076" t="s">
        <v>212</v>
      </c>
      <c r="Q12" s="969" t="s">
        <v>81</v>
      </c>
      <c r="R12" s="969" t="s">
        <v>213</v>
      </c>
      <c r="S12" s="49" t="s">
        <v>196</v>
      </c>
      <c r="T12" s="211" t="s">
        <v>214</v>
      </c>
      <c r="U12" s="211" t="s">
        <v>214</v>
      </c>
      <c r="V12" s="613" t="s">
        <v>215</v>
      </c>
      <c r="W12" s="992">
        <v>46056</v>
      </c>
      <c r="X12" s="211">
        <v>46056</v>
      </c>
      <c r="Y12" s="176"/>
      <c r="Z12" s="176">
        <v>46081</v>
      </c>
      <c r="AA12" s="1284" t="s">
        <v>222</v>
      </c>
      <c r="AB12" s="3" t="s">
        <v>200</v>
      </c>
      <c r="AC12" s="159"/>
      <c r="AD12" s="159"/>
      <c r="AE12" s="159"/>
    </row>
    <row r="13" s="3" customFormat="1" ht="27" customHeight="1" spans="1:31">
      <c r="A13" s="208">
        <f t="shared" si="0"/>
        <v>10</v>
      </c>
      <c r="B13" s="48" t="s">
        <v>209</v>
      </c>
      <c r="C13" s="49" t="s">
        <v>192</v>
      </c>
      <c r="D13" s="50" t="s">
        <v>223</v>
      </c>
      <c r="E13" s="50" t="s">
        <v>211</v>
      </c>
      <c r="F13" s="52">
        <v>46000</v>
      </c>
      <c r="G13" s="52">
        <v>46058</v>
      </c>
      <c r="H13" s="52">
        <v>46058</v>
      </c>
      <c r="I13" s="53">
        <v>46002</v>
      </c>
      <c r="J13" s="175">
        <f t="shared" si="1"/>
        <v>1920</v>
      </c>
      <c r="K13" s="175">
        <v>2</v>
      </c>
      <c r="L13" s="175">
        <v>1920</v>
      </c>
      <c r="M13" s="175"/>
      <c r="N13" s="175"/>
      <c r="O13" s="175"/>
      <c r="P13" s="1076" t="s">
        <v>212</v>
      </c>
      <c r="Q13" s="969" t="s">
        <v>81</v>
      </c>
      <c r="R13" s="969" t="s">
        <v>213</v>
      </c>
      <c r="S13" s="49" t="s">
        <v>196</v>
      </c>
      <c r="T13" s="211" t="s">
        <v>214</v>
      </c>
      <c r="U13" s="211" t="s">
        <v>214</v>
      </c>
      <c r="V13" s="613" t="s">
        <v>215</v>
      </c>
      <c r="W13" s="992">
        <v>46056</v>
      </c>
      <c r="X13" s="211">
        <v>46056</v>
      </c>
      <c r="Y13" s="176"/>
      <c r="Z13" s="176">
        <v>46060</v>
      </c>
      <c r="AA13" s="1284" t="s">
        <v>224</v>
      </c>
      <c r="AB13" s="3" t="s">
        <v>200</v>
      </c>
      <c r="AC13" s="159"/>
      <c r="AD13" s="159"/>
      <c r="AE13" s="159"/>
    </row>
    <row r="14" s="3" customFormat="1" ht="27" customHeight="1" spans="1:31">
      <c r="A14" s="208">
        <f t="shared" si="0"/>
        <v>11</v>
      </c>
      <c r="B14" s="48" t="s">
        <v>209</v>
      </c>
      <c r="C14" s="49" t="s">
        <v>192</v>
      </c>
      <c r="D14" s="50" t="s">
        <v>225</v>
      </c>
      <c r="E14" s="50" t="s">
        <v>211</v>
      </c>
      <c r="F14" s="52">
        <v>46000</v>
      </c>
      <c r="G14" s="52">
        <v>46058</v>
      </c>
      <c r="H14" s="52">
        <v>46058</v>
      </c>
      <c r="I14" s="53">
        <v>46002</v>
      </c>
      <c r="J14" s="175">
        <f t="shared" si="1"/>
        <v>2760</v>
      </c>
      <c r="K14" s="175">
        <v>2</v>
      </c>
      <c r="L14" s="175">
        <v>2760</v>
      </c>
      <c r="M14" s="175"/>
      <c r="N14" s="175"/>
      <c r="O14" s="175"/>
      <c r="P14" s="1076" t="s">
        <v>212</v>
      </c>
      <c r="Q14" s="969" t="s">
        <v>81</v>
      </c>
      <c r="R14" s="969" t="s">
        <v>213</v>
      </c>
      <c r="S14" s="49" t="s">
        <v>196</v>
      </c>
      <c r="T14" s="211" t="s">
        <v>214</v>
      </c>
      <c r="U14" s="211" t="s">
        <v>214</v>
      </c>
      <c r="V14" s="613" t="s">
        <v>215</v>
      </c>
      <c r="W14" s="992">
        <v>46056</v>
      </c>
      <c r="X14" s="211">
        <v>46056</v>
      </c>
      <c r="Y14" s="176"/>
      <c r="Z14" s="176">
        <v>46083</v>
      </c>
      <c r="AA14" s="1284" t="s">
        <v>226</v>
      </c>
      <c r="AB14" s="3" t="s">
        <v>200</v>
      </c>
      <c r="AC14" s="159"/>
      <c r="AD14" s="159"/>
      <c r="AE14" s="159"/>
    </row>
    <row r="15" s="3" customFormat="1" ht="27" customHeight="1" spans="1:31">
      <c r="A15" s="208">
        <f t="shared" si="0"/>
        <v>12</v>
      </c>
      <c r="B15" s="48" t="s">
        <v>209</v>
      </c>
      <c r="C15" s="49" t="s">
        <v>192</v>
      </c>
      <c r="D15" s="50" t="s">
        <v>227</v>
      </c>
      <c r="E15" s="50" t="s">
        <v>211</v>
      </c>
      <c r="F15" s="52">
        <v>46000</v>
      </c>
      <c r="G15" s="52">
        <v>46058</v>
      </c>
      <c r="H15" s="52">
        <v>46058</v>
      </c>
      <c r="I15" s="53">
        <v>46002</v>
      </c>
      <c r="J15" s="175">
        <f t="shared" si="1"/>
        <v>2760</v>
      </c>
      <c r="K15" s="175">
        <v>2</v>
      </c>
      <c r="L15" s="175">
        <v>2760</v>
      </c>
      <c r="M15" s="175"/>
      <c r="N15" s="175"/>
      <c r="O15" s="175"/>
      <c r="P15" s="1076" t="s">
        <v>212</v>
      </c>
      <c r="Q15" s="969" t="s">
        <v>81</v>
      </c>
      <c r="R15" s="969" t="s">
        <v>213</v>
      </c>
      <c r="S15" s="49" t="s">
        <v>196</v>
      </c>
      <c r="T15" s="211" t="s">
        <v>214</v>
      </c>
      <c r="U15" s="211" t="s">
        <v>214</v>
      </c>
      <c r="V15" s="613" t="s">
        <v>215</v>
      </c>
      <c r="W15" s="992">
        <v>46056</v>
      </c>
      <c r="X15" s="211">
        <v>46058</v>
      </c>
      <c r="Y15" s="176"/>
      <c r="Z15" s="176">
        <v>46084</v>
      </c>
      <c r="AA15" s="1284" t="s">
        <v>228</v>
      </c>
      <c r="AB15" s="3" t="s">
        <v>200</v>
      </c>
      <c r="AC15" s="159"/>
      <c r="AD15" s="159"/>
      <c r="AE15" s="159"/>
    </row>
    <row r="16" s="3" customFormat="1" ht="27" customHeight="1" spans="1:31">
      <c r="A16" s="208">
        <f t="shared" si="0"/>
        <v>13</v>
      </c>
      <c r="B16" s="48" t="s">
        <v>209</v>
      </c>
      <c r="C16" s="49" t="s">
        <v>192</v>
      </c>
      <c r="D16" s="50" t="s">
        <v>229</v>
      </c>
      <c r="E16" s="50" t="s">
        <v>211</v>
      </c>
      <c r="F16" s="52">
        <v>46000</v>
      </c>
      <c r="G16" s="52">
        <v>46058</v>
      </c>
      <c r="H16" s="52">
        <v>46058</v>
      </c>
      <c r="I16" s="53">
        <v>46002</v>
      </c>
      <c r="J16" s="175">
        <f t="shared" si="1"/>
        <v>2160</v>
      </c>
      <c r="K16" s="175">
        <v>2</v>
      </c>
      <c r="L16" s="175">
        <v>2160</v>
      </c>
      <c r="M16" s="175"/>
      <c r="N16" s="175"/>
      <c r="O16" s="175"/>
      <c r="P16" s="1076" t="s">
        <v>212</v>
      </c>
      <c r="Q16" s="969" t="s">
        <v>81</v>
      </c>
      <c r="R16" s="969" t="s">
        <v>213</v>
      </c>
      <c r="S16" s="49" t="s">
        <v>196</v>
      </c>
      <c r="T16" s="211" t="s">
        <v>214</v>
      </c>
      <c r="U16" s="211" t="s">
        <v>214</v>
      </c>
      <c r="V16" s="613" t="s">
        <v>215</v>
      </c>
      <c r="W16" s="992">
        <v>46056</v>
      </c>
      <c r="X16" s="211">
        <v>46058</v>
      </c>
      <c r="Y16" s="176"/>
      <c r="Z16" s="176">
        <v>46088</v>
      </c>
      <c r="AA16" s="1284" t="s">
        <v>230</v>
      </c>
      <c r="AB16" s="3" t="s">
        <v>200</v>
      </c>
      <c r="AC16" s="159"/>
      <c r="AD16" s="159"/>
      <c r="AE16" s="159"/>
    </row>
    <row r="17" s="3" customFormat="1" ht="27" customHeight="1" spans="1:31">
      <c r="A17" s="208">
        <f t="shared" si="0"/>
        <v>14</v>
      </c>
      <c r="B17" s="48" t="s">
        <v>209</v>
      </c>
      <c r="C17" s="49" t="s">
        <v>192</v>
      </c>
      <c r="D17" s="50" t="s">
        <v>231</v>
      </c>
      <c r="E17" s="50" t="s">
        <v>232</v>
      </c>
      <c r="F17" s="52">
        <v>46000</v>
      </c>
      <c r="G17" s="52">
        <v>46088</v>
      </c>
      <c r="H17" s="52">
        <v>46088</v>
      </c>
      <c r="I17" s="53">
        <v>46003</v>
      </c>
      <c r="J17" s="175">
        <f t="shared" si="1"/>
        <v>1584</v>
      </c>
      <c r="K17" s="175">
        <v>2</v>
      </c>
      <c r="L17" s="175"/>
      <c r="M17" s="175"/>
      <c r="N17" s="175">
        <v>1584</v>
      </c>
      <c r="O17" s="175"/>
      <c r="P17" s="1076" t="s">
        <v>212</v>
      </c>
      <c r="Q17" s="969" t="s">
        <v>81</v>
      </c>
      <c r="R17" s="969" t="s">
        <v>213</v>
      </c>
      <c r="S17" s="49" t="s">
        <v>196</v>
      </c>
      <c r="T17" s="211" t="s">
        <v>214</v>
      </c>
      <c r="U17" s="211" t="s">
        <v>214</v>
      </c>
      <c r="V17" s="613" t="s">
        <v>219</v>
      </c>
      <c r="W17" s="992">
        <v>46086</v>
      </c>
      <c r="X17" s="1241">
        <v>46085</v>
      </c>
      <c r="Y17" s="176"/>
      <c r="Z17" s="176">
        <v>46092</v>
      </c>
      <c r="AA17" s="1284" t="s">
        <v>233</v>
      </c>
      <c r="AB17" s="3" t="s">
        <v>234</v>
      </c>
      <c r="AC17" s="159"/>
      <c r="AD17" s="159"/>
      <c r="AE17" s="159"/>
    </row>
    <row r="18" s="3" customFormat="1" ht="27" customHeight="1" spans="1:31">
      <c r="A18" s="215"/>
      <c r="B18" s="183"/>
      <c r="C18" s="96"/>
      <c r="D18" s="216"/>
      <c r="E18" s="216"/>
      <c r="F18" s="217"/>
      <c r="G18" s="217"/>
      <c r="H18" s="217"/>
      <c r="I18" s="218"/>
      <c r="J18" s="95"/>
      <c r="K18" s="95"/>
      <c r="L18" s="277"/>
      <c r="M18" s="277"/>
      <c r="N18" s="277"/>
      <c r="O18" s="277"/>
      <c r="P18" s="974"/>
      <c r="Q18" s="962"/>
      <c r="R18" s="962"/>
      <c r="S18" s="96"/>
      <c r="T18" s="279"/>
      <c r="U18" s="279"/>
      <c r="V18" s="556"/>
      <c r="W18" s="1002"/>
      <c r="X18" s="1242"/>
      <c r="Y18" s="97"/>
      <c r="Z18" s="97"/>
      <c r="AA18" s="224"/>
      <c r="AC18" s="159"/>
      <c r="AD18" s="159"/>
      <c r="AE18" s="159"/>
    </row>
    <row r="19" s="3" customFormat="1" ht="27" customHeight="1" spans="1:31">
      <c r="A19" s="215"/>
      <c r="B19" s="183"/>
      <c r="C19" s="96"/>
      <c r="D19" s="216"/>
      <c r="E19" s="216"/>
      <c r="F19" s="217"/>
      <c r="G19" s="217"/>
      <c r="H19" s="217"/>
      <c r="I19" s="218"/>
      <c r="J19" s="95"/>
      <c r="K19" s="95"/>
      <c r="L19" s="277"/>
      <c r="M19" s="277"/>
      <c r="N19" s="277"/>
      <c r="O19" s="277"/>
      <c r="P19" s="974"/>
      <c r="Q19" s="962"/>
      <c r="R19" s="962"/>
      <c r="S19" s="96"/>
      <c r="T19" s="279"/>
      <c r="U19" s="279"/>
      <c r="V19" s="556"/>
      <c r="W19" s="1002"/>
      <c r="X19" s="1242"/>
      <c r="Y19" s="97"/>
      <c r="Z19" s="97"/>
      <c r="AA19" s="224"/>
      <c r="AC19" s="159"/>
      <c r="AD19" s="159"/>
      <c r="AE19" s="159"/>
    </row>
    <row r="20" s="3" customFormat="1" ht="27" customHeight="1" spans="1:31">
      <c r="A20" s="215"/>
      <c r="B20" s="183"/>
      <c r="C20" s="96"/>
      <c r="D20" s="216"/>
      <c r="E20" s="216"/>
      <c r="F20" s="217"/>
      <c r="G20" s="217"/>
      <c r="H20" s="217"/>
      <c r="I20" s="218"/>
      <c r="J20" s="95"/>
      <c r="K20" s="95"/>
      <c r="L20" s="277"/>
      <c r="M20" s="277"/>
      <c r="N20" s="277"/>
      <c r="O20" s="277"/>
      <c r="P20" s="974"/>
      <c r="Q20" s="962"/>
      <c r="R20" s="962"/>
      <c r="S20" s="96"/>
      <c r="T20" s="279"/>
      <c r="U20" s="279"/>
      <c r="V20" s="556"/>
      <c r="W20" s="1002"/>
      <c r="X20" s="1242"/>
      <c r="Y20" s="97"/>
      <c r="Z20" s="97"/>
      <c r="AA20" s="224"/>
      <c r="AC20" s="159"/>
      <c r="AD20" s="159"/>
      <c r="AE20" s="159"/>
    </row>
    <row r="21" s="3" customFormat="1" ht="27" customHeight="1" spans="1:31">
      <c r="A21" s="215"/>
      <c r="B21" s="183"/>
      <c r="C21" s="96"/>
      <c r="D21" s="216"/>
      <c r="E21" s="216"/>
      <c r="F21" s="217"/>
      <c r="G21" s="217"/>
      <c r="H21" s="217"/>
      <c r="I21" s="218"/>
      <c r="J21" s="95"/>
      <c r="K21" s="95"/>
      <c r="L21" s="277"/>
      <c r="M21" s="277"/>
      <c r="N21" s="277"/>
      <c r="O21" s="277"/>
      <c r="P21" s="962"/>
      <c r="Q21" s="962"/>
      <c r="R21" s="962"/>
      <c r="S21" s="96"/>
      <c r="T21" s="279"/>
      <c r="U21" s="183"/>
      <c r="V21" s="183"/>
      <c r="W21" s="97"/>
      <c r="X21" s="1242"/>
      <c r="Y21" s="97"/>
      <c r="Z21" s="97"/>
      <c r="AA21" s="224"/>
      <c r="AC21" s="159"/>
      <c r="AD21" s="159"/>
      <c r="AE21" s="159"/>
    </row>
    <row r="22" s="3" customFormat="1" ht="21.75" customHeight="1" spans="1:31">
      <c r="A22" s="93" t="s">
        <v>66</v>
      </c>
      <c r="B22" s="94"/>
      <c r="C22" s="94"/>
      <c r="D22" s="1243"/>
      <c r="E22" s="1243"/>
      <c r="F22" s="94"/>
      <c r="G22" s="94"/>
      <c r="H22" s="94"/>
      <c r="I22" s="94"/>
      <c r="J22" s="95">
        <f>SUM(J4:J21)</f>
        <v>28800</v>
      </c>
      <c r="K22" s="95"/>
      <c r="L22" s="95">
        <f>SUM(L4:L21)</f>
        <v>25920</v>
      </c>
      <c r="M22" s="95">
        <f>SUM(M4:M21)</f>
        <v>1296</v>
      </c>
      <c r="N22" s="95">
        <f>SUM(N4:N21)</f>
        <v>1584</v>
      </c>
      <c r="O22" s="95">
        <f>SUM(O4:O21)</f>
        <v>0</v>
      </c>
      <c r="P22" s="183"/>
      <c r="Q22" s="183"/>
      <c r="R22" s="96"/>
      <c r="S22" s="96"/>
      <c r="T22" s="96"/>
      <c r="U22" s="96"/>
      <c r="V22" s="96"/>
      <c r="W22" s="97"/>
      <c r="X22" s="1244"/>
      <c r="Y22" s="97"/>
      <c r="Z22" s="97"/>
      <c r="AA22" s="239"/>
      <c r="AC22" s="159"/>
      <c r="AD22" s="159"/>
      <c r="AE22" s="159"/>
    </row>
    <row r="23" s="4" customFormat="1" ht="17.1" customHeight="1" spans="1:31">
      <c r="A23" s="99"/>
      <c r="B23" s="100"/>
      <c r="C23" s="100"/>
      <c r="D23" s="96"/>
      <c r="E23" s="96"/>
      <c r="F23" s="100"/>
      <c r="G23" s="100"/>
      <c r="H23" s="100"/>
      <c r="I23" s="100"/>
      <c r="J23" s="100"/>
      <c r="K23" s="100"/>
      <c r="L23" s="497">
        <f>25920</f>
        <v>25920</v>
      </c>
      <c r="M23" s="736">
        <f>1296</f>
        <v>1296</v>
      </c>
      <c r="N23" s="736">
        <f>1584</f>
        <v>1584</v>
      </c>
      <c r="O23" s="147"/>
      <c r="P23" s="963"/>
      <c r="Q23" s="963"/>
      <c r="R23" s="100"/>
      <c r="S23" s="100"/>
      <c r="T23" s="100"/>
      <c r="U23" s="100"/>
      <c r="V23" s="100"/>
      <c r="W23" s="100"/>
      <c r="X23" s="912"/>
      <c r="Y23" s="100"/>
      <c r="Z23" s="96"/>
      <c r="AA23" s="240"/>
      <c r="AC23" s="295"/>
      <c r="AD23" s="295"/>
      <c r="AE23" s="295"/>
    </row>
    <row r="24" s="4" customFormat="1" ht="17.1" customHeight="1" spans="1:31">
      <c r="A24" s="1138" t="s">
        <v>67</v>
      </c>
      <c r="B24" s="1139"/>
      <c r="C24" s="1139"/>
      <c r="D24" s="1139"/>
      <c r="E24" s="1139"/>
      <c r="F24" s="1139"/>
      <c r="G24" s="1139"/>
      <c r="H24" s="1139"/>
      <c r="I24" s="1139"/>
      <c r="J24" s="1139"/>
      <c r="K24" s="1139"/>
      <c r="L24" s="106">
        <f>L23-L22</f>
        <v>0</v>
      </c>
      <c r="M24" s="106">
        <f>M23-M22</f>
        <v>0</v>
      </c>
      <c r="N24" s="106">
        <f>N23-N22</f>
        <v>0</v>
      </c>
      <c r="O24" s="106">
        <f>O23-O22</f>
        <v>0</v>
      </c>
      <c r="P24" s="839"/>
      <c r="Q24" s="839"/>
      <c r="R24" s="107"/>
      <c r="S24" s="107"/>
      <c r="T24" s="107"/>
      <c r="U24" s="107"/>
      <c r="V24" s="107"/>
      <c r="W24" s="107"/>
      <c r="X24" s="1245"/>
      <c r="Y24" s="107"/>
      <c r="Z24" s="1246"/>
      <c r="AA24" s="246"/>
      <c r="AC24" s="295"/>
      <c r="AD24" s="295"/>
      <c r="AE24" s="295"/>
    </row>
    <row r="25" spans="1:31">
      <c r="B25" s="110" t="s">
        <v>68</v>
      </c>
      <c r="C25" s="110"/>
      <c r="D25" s="1201"/>
      <c r="E25" s="1201"/>
      <c r="F25" s="111"/>
      <c r="G25" s="111"/>
      <c r="H25" s="111"/>
      <c r="I25" s="111"/>
    </row>
    <row r="31" spans="1:31">
      <c r="J31" s="448"/>
    </row>
  </sheetData>
  <autoFilter xmlns:etc="http://www.wps.cn/officeDocument/2017/etCustomData" ref="A3:AB31" etc:filterBottomFollowUsedRange="0">
    <extLst/>
  </autoFilter>
  <mergeCells count="28">
    <mergeCell ref="A1:V1"/>
    <mergeCell ref="W1:Y1"/>
    <mergeCell ref="Z1:AA1"/>
    <mergeCell ref="L2:O2"/>
    <mergeCell ref="P2:R2"/>
    <mergeCell ref="A22:I22"/>
    <mergeCell ref="A23:I23"/>
    <mergeCell ref="A24:K2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S2:S3"/>
    <mergeCell ref="T2:T3"/>
    <mergeCell ref="U2:U3"/>
    <mergeCell ref="V2:V3"/>
    <mergeCell ref="W2:W3"/>
    <mergeCell ref="X2:X3"/>
    <mergeCell ref="Y2:Y3"/>
    <mergeCell ref="Z2:Z3"/>
    <mergeCell ref="AA2:AA3"/>
  </mergeCells>
  <conditionalFormatting sqref="L24:O24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4583333333333" footer="0.314583333333333"/>
  <pageSetup paperSize="9" scale="65" fitToWidth="0" orientation="landscape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16"/>
  <sheetViews>
    <sheetView view="pageBreakPreview" zoomScaleNormal="100" workbookViewId="0">
      <pane xSplit="10" ySplit="3" topLeftCell="K4" activePane="bottomRight" state="frozen"/>
      <selection/>
      <selection pane="topRight"/>
      <selection pane="bottomLeft"/>
      <selection pane="bottomRight" activeCell="W19" sqref="W19"/>
    </sheetView>
  </sheetViews>
  <sheetFormatPr defaultColWidth="9" defaultRowHeight="14.25"/>
  <cols>
    <col min="1" max="1" width="3.875" customWidth="1"/>
    <col min="2" max="2" width="9.125" customWidth="1"/>
    <col min="3" max="3" width="7.125" customWidth="1"/>
    <col min="4" max="4" width="10.875" customWidth="1"/>
    <col min="5" max="6" width="6.125" customWidth="1"/>
    <col min="7" max="8" width="5" customWidth="1"/>
    <col min="9" max="9" width="7.125" customWidth="1"/>
    <col min="10" max="10" width="5.125" customWidth="1"/>
    <col min="11" max="13" width="6.625" customWidth="1"/>
    <col min="14" max="15" width="5.125" style="288" customWidth="1"/>
    <col min="16" max="16" width="8.125" customWidth="1"/>
    <col min="17" max="17" width="5.375" customWidth="1"/>
    <col min="18" max="18" width="10.125" customWidth="1"/>
    <col min="19" max="19" width="5.625" customWidth="1"/>
    <col min="20" max="20" width="6.875" customWidth="1"/>
    <col min="21" max="21" width="23" customWidth="1"/>
    <col min="22" max="22" width="8" customWidth="1"/>
    <col min="23" max="23" width="8.375" style="193" customWidth="1"/>
    <col min="24" max="24" width="6.375" style="193" customWidth="1"/>
    <col min="25" max="25" width="6.625" style="193" customWidth="1"/>
    <col min="26" max="26" width="14.375" customWidth="1"/>
    <col min="27" max="27" width="17.625" customWidth="1"/>
  </cols>
  <sheetData>
    <row r="1" ht="35.1" customHeight="1" spans="1:27">
      <c r="A1" s="256" t="s">
        <v>235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935" t="s">
        <v>1</v>
      </c>
      <c r="X1" s="935"/>
      <c r="Y1" s="200">
        <f ca="1">TODAY()</f>
        <v>46277</v>
      </c>
      <c r="Z1" s="201"/>
    </row>
    <row r="2" s="446" customFormat="1" ht="21.95" customHeight="1" spans="1:27">
      <c r="A2" s="14" t="s">
        <v>2</v>
      </c>
      <c r="B2" s="470" t="s">
        <v>3</v>
      </c>
      <c r="C2" s="470" t="s">
        <v>4</v>
      </c>
      <c r="D2" s="470" t="s">
        <v>5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937" t="s">
        <v>13</v>
      </c>
      <c r="L2" s="938"/>
      <c r="M2" s="939"/>
      <c r="N2" s="472" t="s">
        <v>180</v>
      </c>
      <c r="O2" s="472"/>
      <c r="P2" s="472"/>
      <c r="Q2" s="21" t="s">
        <v>177</v>
      </c>
      <c r="R2" s="474" t="s">
        <v>71</v>
      </c>
      <c r="S2" s="22" t="s">
        <v>236</v>
      </c>
      <c r="T2" s="474" t="s">
        <v>19</v>
      </c>
      <c r="U2" s="475" t="s">
        <v>21</v>
      </c>
      <c r="V2" s="19" t="s">
        <v>22</v>
      </c>
      <c r="W2" s="204" t="s">
        <v>23</v>
      </c>
      <c r="X2" s="204" t="s">
        <v>24</v>
      </c>
      <c r="Y2" s="204" t="s">
        <v>25</v>
      </c>
      <c r="Z2" s="940" t="s">
        <v>26</v>
      </c>
    </row>
    <row r="3" s="446" customFormat="1" ht="28.5" customHeight="1" spans="1:27">
      <c r="A3" s="14"/>
      <c r="B3" s="470"/>
      <c r="C3" s="470"/>
      <c r="D3" s="470"/>
      <c r="E3" s="15"/>
      <c r="F3" s="15"/>
      <c r="G3" s="15"/>
      <c r="H3" s="15"/>
      <c r="I3" s="15"/>
      <c r="J3" s="15"/>
      <c r="K3" s="264" t="s">
        <v>237</v>
      </c>
      <c r="L3" s="264" t="s">
        <v>238</v>
      </c>
      <c r="M3" s="264" t="s">
        <v>239</v>
      </c>
      <c r="N3" s="942" t="s">
        <v>186</v>
      </c>
      <c r="O3" s="19" t="s">
        <v>187</v>
      </c>
      <c r="P3" s="19" t="s">
        <v>73</v>
      </c>
      <c r="Q3" s="21"/>
      <c r="R3" s="474"/>
      <c r="S3" s="32"/>
      <c r="T3" s="474"/>
      <c r="U3" s="475"/>
      <c r="V3" s="19"/>
      <c r="W3" s="204"/>
      <c r="X3" s="204"/>
      <c r="Y3" s="204"/>
      <c r="Z3" s="940"/>
    </row>
    <row r="4" s="3" customFormat="1" ht="27" customHeight="1" spans="1:27">
      <c r="A4" s="215">
        <f t="shared" ref="A4:A12" si="0">ROW()-3</f>
        <v>1</v>
      </c>
      <c r="B4" s="183"/>
      <c r="C4" s="96"/>
      <c r="D4" s="216" t="s">
        <v>240</v>
      </c>
      <c r="E4" s="217"/>
      <c r="F4" s="217"/>
      <c r="G4" s="217"/>
      <c r="H4" s="218"/>
      <c r="I4" s="95">
        <v>150</v>
      </c>
      <c r="J4" s="95"/>
      <c r="K4" s="277">
        <v>50</v>
      </c>
      <c r="L4" s="277">
        <v>50</v>
      </c>
      <c r="M4" s="277">
        <v>50</v>
      </c>
      <c r="N4" s="1234"/>
      <c r="O4" s="492"/>
      <c r="P4" s="1235"/>
      <c r="Q4" s="96"/>
      <c r="R4" s="97"/>
      <c r="S4" s="97"/>
      <c r="T4" s="96"/>
      <c r="U4" s="183"/>
      <c r="V4" s="493"/>
      <c r="W4" s="222"/>
      <c r="X4" s="222"/>
      <c r="Y4" s="97"/>
      <c r="Z4" s="178"/>
    </row>
    <row r="5" s="712" customFormat="1" ht="37.5" customHeight="1" spans="1:27">
      <c r="A5" s="208">
        <f t="shared" si="0"/>
        <v>2</v>
      </c>
      <c r="B5" s="48" t="s">
        <v>241</v>
      </c>
      <c r="C5" s="49" t="s">
        <v>242</v>
      </c>
      <c r="D5" s="50" t="s">
        <v>243</v>
      </c>
      <c r="E5" s="52">
        <v>45695</v>
      </c>
      <c r="F5" s="52">
        <v>45790</v>
      </c>
      <c r="G5" s="52">
        <v>45843</v>
      </c>
      <c r="H5" s="53">
        <v>45734</v>
      </c>
      <c r="I5" s="175">
        <v>25000</v>
      </c>
      <c r="J5" s="175">
        <v>4</v>
      </c>
      <c r="K5" s="175">
        <f>I5/J5*2</f>
        <v>12500</v>
      </c>
      <c r="L5" s="175">
        <f>I5/J5*1</f>
        <v>6250</v>
      </c>
      <c r="M5" s="175">
        <f>I5/J5*1</f>
        <v>6250</v>
      </c>
      <c r="N5" s="969" t="s">
        <v>244</v>
      </c>
      <c r="O5" s="969" t="s">
        <v>81</v>
      </c>
      <c r="P5" s="969" t="s">
        <v>245</v>
      </c>
      <c r="Q5" s="49" t="s">
        <v>81</v>
      </c>
      <c r="R5" s="211" t="s">
        <v>246</v>
      </c>
      <c r="S5" s="211" t="s">
        <v>247</v>
      </c>
      <c r="T5" s="48" t="s">
        <v>248</v>
      </c>
      <c r="U5" s="48" t="s">
        <v>249</v>
      </c>
      <c r="V5" s="212">
        <v>45842</v>
      </c>
      <c r="W5" s="211">
        <v>45852</v>
      </c>
      <c r="X5" s="176"/>
      <c r="Y5" s="176">
        <v>45855</v>
      </c>
      <c r="Z5" s="177" t="s">
        <v>250</v>
      </c>
      <c r="AA5" s="712" t="s">
        <v>251</v>
      </c>
    </row>
    <row r="6" s="3" customFormat="1" ht="37.5" customHeight="1" spans="1:27">
      <c r="A6" s="208">
        <f t="shared" si="0"/>
        <v>3</v>
      </c>
      <c r="B6" s="48" t="s">
        <v>241</v>
      </c>
      <c r="C6" s="49" t="s">
        <v>242</v>
      </c>
      <c r="D6" s="50" t="s">
        <v>252</v>
      </c>
      <c r="E6" s="52">
        <v>45695</v>
      </c>
      <c r="F6" s="52">
        <v>45880</v>
      </c>
      <c r="G6" s="52">
        <v>45868</v>
      </c>
      <c r="H6" s="53">
        <v>45734</v>
      </c>
      <c r="I6" s="175">
        <v>10000</v>
      </c>
      <c r="J6" s="175">
        <v>4</v>
      </c>
      <c r="K6" s="175">
        <f>I6/J6*2</f>
        <v>5000</v>
      </c>
      <c r="L6" s="175">
        <f>I6/J6*1</f>
        <v>2500</v>
      </c>
      <c r="M6" s="175">
        <f>I6/J6*1</f>
        <v>2500</v>
      </c>
      <c r="N6" s="969" t="s">
        <v>244</v>
      </c>
      <c r="O6" s="969" t="s">
        <v>81</v>
      </c>
      <c r="P6" s="969" t="s">
        <v>253</v>
      </c>
      <c r="Q6" s="49" t="s">
        <v>81</v>
      </c>
      <c r="R6" s="211" t="s">
        <v>246</v>
      </c>
      <c r="S6" s="211" t="s">
        <v>247</v>
      </c>
      <c r="T6" s="48" t="s">
        <v>248</v>
      </c>
      <c r="U6" s="48" t="s">
        <v>249</v>
      </c>
      <c r="V6" s="212">
        <v>45868</v>
      </c>
      <c r="W6" s="211">
        <v>45874</v>
      </c>
      <c r="X6" s="176"/>
      <c r="Y6" s="176">
        <v>45876</v>
      </c>
      <c r="Z6" s="177" t="s">
        <v>250</v>
      </c>
      <c r="AA6" s="3" t="s">
        <v>251</v>
      </c>
    </row>
    <row r="7" s="3" customFormat="1" ht="31.5" customHeight="1" spans="1:27">
      <c r="A7" s="208">
        <f t="shared" si="0"/>
        <v>4</v>
      </c>
      <c r="B7" s="48" t="s">
        <v>254</v>
      </c>
      <c r="C7" s="49" t="s">
        <v>77</v>
      </c>
      <c r="D7" s="50" t="s">
        <v>255</v>
      </c>
      <c r="E7" s="52">
        <v>45740</v>
      </c>
      <c r="F7" s="52">
        <v>45886</v>
      </c>
      <c r="G7" s="52">
        <v>45886</v>
      </c>
      <c r="H7" s="53">
        <v>45840</v>
      </c>
      <c r="I7" s="175">
        <v>2800</v>
      </c>
      <c r="J7" s="175">
        <v>4</v>
      </c>
      <c r="K7" s="175">
        <f>I7/J7*2</f>
        <v>1400</v>
      </c>
      <c r="L7" s="175">
        <f>I7/J7*1</f>
        <v>700</v>
      </c>
      <c r="M7" s="175">
        <f>I7/J7*1</f>
        <v>700</v>
      </c>
      <c r="N7" s="969" t="s">
        <v>256</v>
      </c>
      <c r="O7" s="969" t="s">
        <v>81</v>
      </c>
      <c r="P7" s="969" t="s">
        <v>253</v>
      </c>
      <c r="Q7" s="49" t="s">
        <v>81</v>
      </c>
      <c r="R7" s="211" t="s">
        <v>257</v>
      </c>
      <c r="S7" s="211" t="s">
        <v>247</v>
      </c>
      <c r="T7" s="48" t="s">
        <v>258</v>
      </c>
      <c r="U7" s="48" t="s">
        <v>259</v>
      </c>
      <c r="V7" s="176">
        <v>45882</v>
      </c>
      <c r="W7" s="211">
        <v>45903</v>
      </c>
      <c r="X7" s="176"/>
      <c r="Y7" s="176">
        <v>45905</v>
      </c>
      <c r="Z7" s="177">
        <v>15779851</v>
      </c>
      <c r="AA7" s="3" t="s">
        <v>251</v>
      </c>
    </row>
    <row r="8" s="3" customFormat="1" ht="44.25" customHeight="1" spans="1:27">
      <c r="A8" s="208">
        <f t="shared" si="0"/>
        <v>5</v>
      </c>
      <c r="B8" s="48" t="s">
        <v>260</v>
      </c>
      <c r="C8" s="49" t="s">
        <v>77</v>
      </c>
      <c r="D8" s="50" t="s">
        <v>261</v>
      </c>
      <c r="E8" s="52">
        <v>45740</v>
      </c>
      <c r="F8" s="52">
        <v>45886</v>
      </c>
      <c r="G8" s="52">
        <v>45886</v>
      </c>
      <c r="H8" s="53">
        <v>45841</v>
      </c>
      <c r="I8" s="175">
        <v>400</v>
      </c>
      <c r="J8" s="175">
        <v>4</v>
      </c>
      <c r="K8" s="175">
        <f>I8/J8*2</f>
        <v>200</v>
      </c>
      <c r="L8" s="175">
        <f>I8/J8*1</f>
        <v>100</v>
      </c>
      <c r="M8" s="175">
        <f>I8/J8*1</f>
        <v>100</v>
      </c>
      <c r="N8" s="969" t="s">
        <v>256</v>
      </c>
      <c r="O8" s="969" t="s">
        <v>81</v>
      </c>
      <c r="P8" s="969" t="s">
        <v>253</v>
      </c>
      <c r="Q8" s="49" t="s">
        <v>81</v>
      </c>
      <c r="R8" s="211" t="s">
        <v>257</v>
      </c>
      <c r="S8" s="211" t="s">
        <v>247</v>
      </c>
      <c r="T8" s="48" t="s">
        <v>258</v>
      </c>
      <c r="U8" s="48" t="s">
        <v>262</v>
      </c>
      <c r="V8" s="176">
        <v>45882</v>
      </c>
      <c r="W8" s="211">
        <v>45903</v>
      </c>
      <c r="X8" s="176" t="s">
        <v>263</v>
      </c>
      <c r="Y8" s="176">
        <v>45905</v>
      </c>
      <c r="Z8" s="177">
        <v>15779856</v>
      </c>
      <c r="AA8" s="3" t="s">
        <v>264</v>
      </c>
    </row>
    <row r="9" s="3" customFormat="1" ht="37.5" customHeight="1" spans="1:27">
      <c r="A9" s="208">
        <f t="shared" si="0"/>
        <v>6</v>
      </c>
      <c r="B9" s="48" t="s">
        <v>241</v>
      </c>
      <c r="C9" s="49" t="s">
        <v>242</v>
      </c>
      <c r="D9" s="1236" t="s">
        <v>265</v>
      </c>
      <c r="E9" s="52">
        <v>45695</v>
      </c>
      <c r="F9" s="52">
        <v>45910</v>
      </c>
      <c r="G9" s="52">
        <v>45898</v>
      </c>
      <c r="H9" s="53">
        <v>45734</v>
      </c>
      <c r="I9" s="175">
        <v>15000</v>
      </c>
      <c r="J9" s="175">
        <v>4</v>
      </c>
      <c r="K9" s="175">
        <f>I9/J9*2</f>
        <v>7500</v>
      </c>
      <c r="L9" s="175">
        <f>I9/J9*1</f>
        <v>3750</v>
      </c>
      <c r="M9" s="175">
        <f>I9/J9*1</f>
        <v>3750</v>
      </c>
      <c r="N9" s="969" t="s">
        <v>244</v>
      </c>
      <c r="O9" s="969" t="s">
        <v>81</v>
      </c>
      <c r="P9" s="969" t="s">
        <v>253</v>
      </c>
      <c r="Q9" s="49" t="s">
        <v>81</v>
      </c>
      <c r="R9" s="211" t="s">
        <v>246</v>
      </c>
      <c r="S9" s="211" t="s">
        <v>247</v>
      </c>
      <c r="T9" s="48" t="s">
        <v>248</v>
      </c>
      <c r="U9" s="48" t="s">
        <v>249</v>
      </c>
      <c r="V9" s="212">
        <v>45898</v>
      </c>
      <c r="W9" s="211">
        <v>45904</v>
      </c>
      <c r="X9" s="176"/>
      <c r="Y9" s="325" t="s">
        <v>266</v>
      </c>
      <c r="Z9" s="177" t="s">
        <v>250</v>
      </c>
      <c r="AA9" s="3" t="s">
        <v>251</v>
      </c>
    </row>
    <row r="10" s="3" customFormat="1" ht="27" customHeight="1" spans="1:27">
      <c r="A10" s="215">
        <f t="shared" si="0"/>
        <v>7</v>
      </c>
      <c r="B10" s="183"/>
      <c r="C10" s="96"/>
      <c r="D10" s="216"/>
      <c r="E10" s="217"/>
      <c r="F10" s="217"/>
      <c r="G10" s="217"/>
      <c r="H10" s="218"/>
      <c r="I10" s="95"/>
      <c r="J10" s="95"/>
      <c r="K10" s="277"/>
      <c r="L10" s="277"/>
      <c r="M10" s="277"/>
      <c r="N10" s="962"/>
      <c r="O10" s="962"/>
      <c r="P10" s="962"/>
      <c r="Q10" s="96"/>
      <c r="R10" s="279"/>
      <c r="S10" s="279"/>
      <c r="T10" s="183"/>
      <c r="U10" s="183"/>
      <c r="V10" s="493"/>
      <c r="W10" s="222"/>
      <c r="X10" s="97"/>
      <c r="Y10" s="223"/>
      <c r="Z10" s="178"/>
    </row>
    <row r="11" s="3" customFormat="1" ht="27" customHeight="1" spans="1:27">
      <c r="A11" s="215">
        <f t="shared" si="0"/>
        <v>8</v>
      </c>
      <c r="B11" s="183"/>
      <c r="C11" s="96"/>
      <c r="D11" s="216"/>
      <c r="E11" s="217"/>
      <c r="F11" s="217"/>
      <c r="G11" s="217"/>
      <c r="H11" s="218"/>
      <c r="I11" s="95"/>
      <c r="J11" s="95"/>
      <c r="K11" s="277"/>
      <c r="L11" s="277"/>
      <c r="M11" s="277"/>
      <c r="N11" s="962"/>
      <c r="O11" s="962"/>
      <c r="P11" s="962"/>
      <c r="Q11" s="96"/>
      <c r="R11" s="279"/>
      <c r="S11" s="279"/>
      <c r="T11" s="183"/>
      <c r="U11" s="183"/>
      <c r="V11" s="493"/>
      <c r="W11" s="222"/>
      <c r="X11" s="97"/>
      <c r="Y11" s="223"/>
      <c r="Z11" s="178"/>
    </row>
    <row r="12" s="3" customFormat="1" ht="27" customHeight="1" spans="1:27">
      <c r="A12" s="215">
        <f t="shared" si="0"/>
        <v>9</v>
      </c>
      <c r="B12" s="183"/>
      <c r="C12" s="96"/>
      <c r="D12" s="216"/>
      <c r="E12" s="217"/>
      <c r="F12" s="217"/>
      <c r="G12" s="217"/>
      <c r="H12" s="218"/>
      <c r="I12" s="95"/>
      <c r="J12" s="95"/>
      <c r="K12" s="277"/>
      <c r="L12" s="277"/>
      <c r="M12" s="277"/>
      <c r="N12" s="962"/>
      <c r="O12" s="962"/>
      <c r="P12" s="962"/>
      <c r="Q12" s="96"/>
      <c r="R12" s="279"/>
      <c r="S12" s="279"/>
      <c r="T12" s="183"/>
      <c r="U12" s="183"/>
      <c r="V12" s="97"/>
      <c r="W12" s="222"/>
      <c r="X12" s="97"/>
      <c r="Y12" s="97"/>
      <c r="Z12" s="178"/>
    </row>
    <row r="13" s="3" customFormat="1" ht="21.75" customHeight="1" spans="1:27">
      <c r="A13" s="93" t="s">
        <v>66</v>
      </c>
      <c r="B13" s="94"/>
      <c r="C13" s="94"/>
      <c r="D13" s="94"/>
      <c r="E13" s="94"/>
      <c r="F13" s="94"/>
      <c r="G13" s="94"/>
      <c r="H13" s="94"/>
      <c r="I13" s="95">
        <f>SUM(I4:I12)</f>
        <v>53350</v>
      </c>
      <c r="J13" s="95"/>
      <c r="K13" s="95">
        <f>SUM(K4:K12)</f>
        <v>26650</v>
      </c>
      <c r="L13" s="95">
        <f>SUM(L4:L12)</f>
        <v>13350</v>
      </c>
      <c r="M13" s="95">
        <f>SUM(M4:M12)</f>
        <v>13350</v>
      </c>
      <c r="N13" s="183"/>
      <c r="O13" s="183"/>
      <c r="P13" s="96"/>
      <c r="Q13" s="96"/>
      <c r="R13" s="96"/>
      <c r="S13" s="96"/>
      <c r="T13" s="96"/>
      <c r="U13" s="96"/>
      <c r="V13" s="97"/>
      <c r="W13" s="97"/>
      <c r="X13" s="97"/>
      <c r="Y13" s="97"/>
      <c r="Z13" s="98"/>
    </row>
    <row r="14" s="4" customFormat="1" ht="17.1" customHeight="1" spans="1:27">
      <c r="A14" s="99"/>
      <c r="B14" s="100"/>
      <c r="C14" s="100"/>
      <c r="D14" s="100"/>
      <c r="E14" s="100"/>
      <c r="F14" s="100"/>
      <c r="G14" s="100"/>
      <c r="H14" s="100"/>
      <c r="I14" s="100">
        <f>SUM(K14:M14)</f>
        <v>53350</v>
      </c>
      <c r="J14" s="100"/>
      <c r="K14" s="100">
        <f>5100+19950+1600</f>
        <v>26650</v>
      </c>
      <c r="L14" s="100">
        <f>5100+7450+800</f>
        <v>13350</v>
      </c>
      <c r="M14" s="100">
        <f>5100+7450+800</f>
        <v>13350</v>
      </c>
      <c r="N14" s="963"/>
      <c r="O14" s="963"/>
      <c r="P14" s="96"/>
      <c r="Q14" s="100"/>
      <c r="R14" s="100"/>
      <c r="S14" s="100"/>
      <c r="T14" s="100"/>
      <c r="U14" s="100"/>
      <c r="V14" s="100"/>
      <c r="W14" s="100"/>
      <c r="X14" s="100"/>
      <c r="Y14" s="100"/>
      <c r="Z14" s="102"/>
    </row>
    <row r="15" s="4" customFormat="1" ht="17.1" customHeight="1" spans="1:27">
      <c r="A15" s="241" t="s">
        <v>67</v>
      </c>
      <c r="B15" s="242"/>
      <c r="C15" s="242"/>
      <c r="D15" s="242"/>
      <c r="E15" s="242"/>
      <c r="F15" s="242"/>
      <c r="G15" s="242"/>
      <c r="H15" s="243"/>
      <c r="I15" s="964">
        <f>I14-I13</f>
        <v>0</v>
      </c>
      <c r="J15" s="245"/>
      <c r="K15" s="106">
        <f>K14-K13</f>
        <v>0</v>
      </c>
      <c r="L15" s="106">
        <f>L14-L13</f>
        <v>0</v>
      </c>
      <c r="M15" s="106">
        <f>M14-M13</f>
        <v>0</v>
      </c>
      <c r="N15" s="839"/>
      <c r="O15" s="839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9"/>
    </row>
    <row r="16" spans="1:27">
      <c r="B16" s="110" t="s">
        <v>68</v>
      </c>
      <c r="C16" s="110"/>
      <c r="D16" s="111"/>
      <c r="E16" s="111"/>
      <c r="F16" s="111"/>
      <c r="G16" s="111"/>
      <c r="H16" s="965"/>
      <c r="I16" s="965"/>
      <c r="J16" s="965"/>
    </row>
  </sheetData>
  <autoFilter xmlns:etc="http://www.wps.cn/officeDocument/2017/etCustomData" ref="A3:AA16" etc:filterBottomFollowUsedRange="0">
    <extLst/>
  </autoFilter>
  <mergeCells count="29">
    <mergeCell ref="A1:V1"/>
    <mergeCell ref="W1:X1"/>
    <mergeCell ref="Y1:Z1"/>
    <mergeCell ref="K2:M2"/>
    <mergeCell ref="N2:P2"/>
    <mergeCell ref="A13:H13"/>
    <mergeCell ref="A14:H14"/>
    <mergeCell ref="A15:H15"/>
    <mergeCell ref="H16:J16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</mergeCells>
  <conditionalFormatting sqref="K15:M15">
    <cfRule type="cellIs" dxfId="0" priority="1" operator="lessThan">
      <formula>0</formula>
    </cfRule>
  </conditionalFormatting>
  <printOptions horizontalCentered="1"/>
  <pageMargins left="0.118110236220472" right="0.118110236220472" top="0.354330708661417" bottom="0.354330708661417" header="0.31496062992126" footer="0.31496062992126"/>
  <pageSetup paperSize="9" scale="68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AA10"/>
  <sheetViews>
    <sheetView view="pageBreakPreview" zoomScaleNormal="100" workbookViewId="0">
      <pane xSplit="10" ySplit="3" topLeftCell="K4" activePane="bottomRight" state="frozen"/>
      <selection/>
      <selection pane="topRight"/>
      <selection pane="bottomLeft"/>
      <selection pane="bottomRight" activeCell="A1" sqref="A1:U1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4" width="13.5" customWidth="1"/>
    <col min="5" max="8" width="6.5" customWidth="1"/>
    <col min="9" max="9" width="9.5" customWidth="1"/>
    <col min="10" max="10" width="4.625" customWidth="1"/>
    <col min="11" max="11" width="6.875" customWidth="1"/>
    <col min="12" max="12" width="7" customWidth="1"/>
    <col min="13" max="13" width="8" customWidth="1"/>
    <col min="14" max="15" width="4.625" customWidth="1"/>
    <col min="16" max="16" width="5.375" customWidth="1"/>
    <col min="17" max="18" width="5.125" customWidth="1"/>
    <col min="19" max="19" width="6.125" customWidth="1"/>
    <col min="20" max="20" width="7.375" customWidth="1"/>
    <col min="21" max="21" width="21" customWidth="1"/>
    <col min="22" max="22" width="8.375" style="114" customWidth="1"/>
    <col min="23" max="23" width="8.5" style="113" customWidth="1"/>
    <col min="24" max="24" width="6.625" style="193" customWidth="1"/>
    <col min="25" max="25" width="8.375" style="193" customWidth="1"/>
    <col min="26" max="26" width="17.5" customWidth="1"/>
    <col min="27" max="27" width="17.375" customWidth="1"/>
    <col min="28" max="28" width="11.875" customWidth="1"/>
  </cols>
  <sheetData>
    <row r="1" ht="36.75" customHeight="1" spans="1:27">
      <c r="A1" s="298" t="s">
        <v>267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197" t="s">
        <v>1</v>
      </c>
      <c r="W1" s="198"/>
      <c r="X1" s="199"/>
      <c r="Y1" s="200">
        <f ca="1">TODAY()</f>
        <v>46277</v>
      </c>
      <c r="Z1" s="201"/>
    </row>
    <row r="2" s="190" customFormat="1" ht="21.95" customHeight="1" spans="1:27">
      <c r="A2" s="14" t="s">
        <v>2</v>
      </c>
      <c r="B2" s="15" t="s">
        <v>3</v>
      </c>
      <c r="C2" s="15" t="s">
        <v>4</v>
      </c>
      <c r="D2" s="15" t="s">
        <v>5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810" t="s">
        <v>13</v>
      </c>
      <c r="L2" s="811"/>
      <c r="M2" s="1030" t="s">
        <v>70</v>
      </c>
      <c r="N2" s="1031"/>
      <c r="O2" s="1032"/>
      <c r="P2" s="21" t="s">
        <v>177</v>
      </c>
      <c r="Q2" s="21" t="s">
        <v>71</v>
      </c>
      <c r="R2" s="22" t="s">
        <v>72</v>
      </c>
      <c r="S2" s="21" t="s">
        <v>19</v>
      </c>
      <c r="T2" s="22" t="s">
        <v>20</v>
      </c>
      <c r="U2" s="24" t="s">
        <v>21</v>
      </c>
      <c r="V2" s="25" t="s">
        <v>22</v>
      </c>
      <c r="W2" s="26" t="s">
        <v>23</v>
      </c>
      <c r="X2" s="204" t="s">
        <v>24</v>
      </c>
      <c r="Y2" s="204" t="s">
        <v>25</v>
      </c>
      <c r="Z2" s="27" t="s">
        <v>26</v>
      </c>
    </row>
    <row r="3" s="190" customFormat="1" ht="24.95" customHeight="1" spans="1:27">
      <c r="A3" s="14"/>
      <c r="B3" s="15"/>
      <c r="C3" s="15"/>
      <c r="D3" s="15"/>
      <c r="E3" s="15"/>
      <c r="F3" s="15"/>
      <c r="G3" s="15"/>
      <c r="H3" s="15"/>
      <c r="I3" s="15"/>
      <c r="J3" s="15"/>
      <c r="K3" s="740" t="s">
        <v>268</v>
      </c>
      <c r="L3" s="740" t="s">
        <v>269</v>
      </c>
      <c r="M3" s="1033" t="s">
        <v>73</v>
      </c>
      <c r="N3" s="1033" t="s">
        <v>74</v>
      </c>
      <c r="O3" s="1033" t="s">
        <v>75</v>
      </c>
      <c r="P3" s="21"/>
      <c r="Q3" s="21"/>
      <c r="R3" s="32"/>
      <c r="S3" s="21"/>
      <c r="T3" s="32"/>
      <c r="U3" s="24"/>
      <c r="V3" s="25"/>
      <c r="W3" s="26"/>
      <c r="X3" s="204"/>
      <c r="Y3" s="204"/>
      <c r="Z3" s="27"/>
      <c r="AA3" s="206" t="s">
        <v>65</v>
      </c>
    </row>
    <row r="4" s="3" customFormat="1" ht="27" hidden="1" customHeight="1" spans="1:27">
      <c r="A4" s="215">
        <f>ROW()-3</f>
        <v>1</v>
      </c>
      <c r="B4" s="48" t="s">
        <v>270</v>
      </c>
      <c r="C4" s="49" t="s">
        <v>271</v>
      </c>
      <c r="D4" s="51" t="s">
        <v>272</v>
      </c>
      <c r="E4" s="52">
        <v>45897</v>
      </c>
      <c r="F4" s="52">
        <v>46006</v>
      </c>
      <c r="G4" s="52">
        <v>46006</v>
      </c>
      <c r="H4" s="53">
        <v>46080</v>
      </c>
      <c r="I4" s="175">
        <v>4000</v>
      </c>
      <c r="J4" s="708">
        <v>8</v>
      </c>
      <c r="K4" s="175">
        <f>I4/J4*5</f>
        <v>2500</v>
      </c>
      <c r="L4" s="175">
        <f>I4/J4*3</f>
        <v>1500</v>
      </c>
      <c r="M4" s="49" t="s">
        <v>273</v>
      </c>
      <c r="N4" s="49" t="s">
        <v>104</v>
      </c>
      <c r="O4" s="700" t="s">
        <v>274</v>
      </c>
      <c r="P4" s="49" t="s">
        <v>104</v>
      </c>
      <c r="Q4" s="48" t="s">
        <v>275</v>
      </c>
      <c r="R4" s="48" t="s">
        <v>276</v>
      </c>
      <c r="S4" s="305" t="s">
        <v>277</v>
      </c>
      <c r="T4" s="49" t="s">
        <v>273</v>
      </c>
      <c r="U4" s="48" t="s">
        <v>278</v>
      </c>
      <c r="V4" s="176">
        <v>46006</v>
      </c>
      <c r="W4" s="211">
        <v>46084</v>
      </c>
      <c r="X4" s="308"/>
      <c r="Y4" s="176">
        <v>46099</v>
      </c>
      <c r="Z4" s="177" t="s">
        <v>279</v>
      </c>
      <c r="AA4" s="3" t="s">
        <v>280</v>
      </c>
    </row>
    <row r="5" s="3" customFormat="1" ht="27" customHeight="1" spans="1:27">
      <c r="A5" s="215"/>
      <c r="B5" s="183"/>
      <c r="C5" s="96"/>
      <c r="D5" s="293"/>
      <c r="E5" s="217"/>
      <c r="F5" s="217"/>
      <c r="G5" s="217"/>
      <c r="H5" s="218"/>
      <c r="I5" s="95"/>
      <c r="J5" s="1231"/>
      <c r="K5" s="95"/>
      <c r="L5" s="95"/>
      <c r="M5" s="219"/>
      <c r="N5" s="219"/>
      <c r="O5" s="1185"/>
      <c r="P5" s="96"/>
      <c r="Q5" s="183"/>
      <c r="R5" s="183"/>
      <c r="S5" s="297"/>
      <c r="T5" s="96"/>
      <c r="U5" s="183"/>
      <c r="V5" s="97"/>
      <c r="W5" s="279"/>
      <c r="X5" s="222"/>
      <c r="Y5" s="97"/>
      <c r="Z5" s="178"/>
    </row>
    <row r="6" s="3" customFormat="1" ht="27" customHeight="1" spans="1:27">
      <c r="A6" s="215"/>
      <c r="B6" s="183"/>
      <c r="C6" s="96"/>
      <c r="D6" s="216"/>
      <c r="E6" s="217"/>
      <c r="F6" s="217"/>
      <c r="G6" s="217"/>
      <c r="H6" s="218"/>
      <c r="I6" s="95"/>
      <c r="J6" s="95"/>
      <c r="K6" s="277"/>
      <c r="L6" s="277"/>
      <c r="M6" s="219"/>
      <c r="N6" s="219"/>
      <c r="O6" s="219"/>
      <c r="P6" s="96"/>
      <c r="Q6" s="279"/>
      <c r="R6" s="279"/>
      <c r="S6" s="183"/>
      <c r="T6" s="183"/>
      <c r="U6" s="183"/>
      <c r="V6" s="97"/>
      <c r="W6" s="222"/>
      <c r="X6" s="97"/>
      <c r="Y6" s="97"/>
      <c r="Z6" s="178"/>
    </row>
    <row r="7" s="3" customFormat="1" ht="17.1" customHeight="1" spans="1:27">
      <c r="A7" s="93" t="s">
        <v>66</v>
      </c>
      <c r="B7" s="94"/>
      <c r="C7" s="94"/>
      <c r="D7" s="94"/>
      <c r="E7" s="94"/>
      <c r="F7" s="94"/>
      <c r="G7" s="94"/>
      <c r="H7" s="94"/>
      <c r="I7" s="95">
        <f>SUM(I4:I6)</f>
        <v>4000</v>
      </c>
      <c r="J7" s="95"/>
      <c r="K7" s="95">
        <f>SUM(K4:K6)</f>
        <v>2500</v>
      </c>
      <c r="L7" s="95">
        <f>SUM(L4:L6)</f>
        <v>1500</v>
      </c>
      <c r="M7" s="95"/>
      <c r="N7" s="95"/>
      <c r="O7" s="95"/>
      <c r="Q7" s="96"/>
      <c r="R7" s="96"/>
      <c r="S7" s="96"/>
      <c r="T7" s="96"/>
      <c r="U7" s="96"/>
      <c r="V7" s="97"/>
      <c r="W7" s="97"/>
      <c r="X7" s="97"/>
      <c r="Y7" s="97"/>
      <c r="Z7" s="98"/>
    </row>
    <row r="8" s="4" customFormat="1" ht="17.1" customHeight="1" spans="1:27">
      <c r="A8" s="99"/>
      <c r="B8" s="100"/>
      <c r="C8" s="100"/>
      <c r="D8" s="100"/>
      <c r="E8" s="100"/>
      <c r="F8" s="100"/>
      <c r="G8" s="100"/>
      <c r="H8" s="100"/>
      <c r="I8" s="133">
        <f>SUM(K8:L8)</f>
        <v>4000</v>
      </c>
      <c r="J8" s="100"/>
      <c r="K8" s="100">
        <f>2500</f>
        <v>2500</v>
      </c>
      <c r="L8" s="100">
        <f>1500</f>
        <v>1500</v>
      </c>
      <c r="M8" s="147"/>
      <c r="N8" s="147"/>
      <c r="O8" s="147"/>
      <c r="P8" s="96"/>
      <c r="Q8" s="100"/>
      <c r="R8" s="100"/>
      <c r="S8" s="100"/>
      <c r="T8" s="100"/>
      <c r="U8" s="100"/>
      <c r="V8" s="101"/>
      <c r="W8" s="101"/>
      <c r="X8" s="100"/>
      <c r="Y8" s="100"/>
      <c r="Z8" s="102"/>
    </row>
    <row r="9" s="4" customFormat="1" ht="19.5" customHeight="1" spans="1:27">
      <c r="A9" s="241" t="s">
        <v>67</v>
      </c>
      <c r="B9" s="242"/>
      <c r="C9" s="242"/>
      <c r="D9" s="242"/>
      <c r="E9" s="242"/>
      <c r="F9" s="242"/>
      <c r="G9" s="242"/>
      <c r="H9" s="243"/>
      <c r="I9" s="105">
        <f>I8-I7</f>
        <v>0</v>
      </c>
      <c r="J9" s="245"/>
      <c r="K9" s="1229">
        <f>K8-K7</f>
        <v>0</v>
      </c>
      <c r="L9" s="1229">
        <f>L8-L7</f>
        <v>0</v>
      </c>
      <c r="M9" s="106"/>
      <c r="N9" s="106"/>
      <c r="O9" s="106"/>
      <c r="P9" s="106"/>
      <c r="Q9" s="106"/>
      <c r="R9" s="106"/>
      <c r="S9" s="106"/>
      <c r="T9" s="106"/>
      <c r="U9" s="106"/>
      <c r="V9" s="108"/>
      <c r="W9" s="108"/>
      <c r="X9" s="107"/>
      <c r="Y9" s="107"/>
      <c r="Z9" s="109"/>
    </row>
    <row r="10" spans="1:27">
      <c r="B10" s="110" t="s">
        <v>68</v>
      </c>
      <c r="C10" s="110"/>
      <c r="D10" s="111"/>
      <c r="E10" s="111"/>
      <c r="F10" s="111"/>
      <c r="G10" s="111" t="s">
        <v>281</v>
      </c>
      <c r="H10" s="111"/>
      <c r="I10" s="1232"/>
      <c r="J10" s="1232"/>
      <c r="K10" s="1233"/>
      <c r="L10" s="1233"/>
    </row>
  </sheetData>
  <autoFilter xmlns:etc="http://www.wps.cn/officeDocument/2017/etCustomData" ref="A2:AA4" etc:filterBottomFollowUsedRange="0">
    <filterColumn colId="24">
      <filters blank="1"/>
    </filterColumn>
    <extLst/>
  </autoFilter>
  <mergeCells count="29">
    <mergeCell ref="A1:U1"/>
    <mergeCell ref="V1:X1"/>
    <mergeCell ref="Y1:Z1"/>
    <mergeCell ref="K2:L2"/>
    <mergeCell ref="M2:O2"/>
    <mergeCell ref="A7:H7"/>
    <mergeCell ref="A8:H8"/>
    <mergeCell ref="A9:H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</mergeCells>
  <conditionalFormatting sqref="M9:U9">
    <cfRule type="cellIs" dxfId="0" priority="1" operator="lessThan">
      <formula>0</formula>
    </cfRule>
  </conditionalFormatting>
  <printOptions horizontalCentered="1"/>
  <pageMargins left="0.118110236220472" right="0.118110236220472" top="0.354330708661417" bottom="0.354330708661417" header="0.31496062992126" footer="0.31496062992126"/>
  <pageSetup paperSize="9" scale="66" orientation="landscape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18"/>
  <sheetViews>
    <sheetView workbookViewId="0">
      <selection activeCell="M22" sqref="M22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4" width="13.5" customWidth="1"/>
    <col min="5" max="8" width="6.5" customWidth="1"/>
    <col min="9" max="9" width="9.5" customWidth="1"/>
    <col min="10" max="10" width="4.625" customWidth="1"/>
    <col min="11" max="11" width="6.875" customWidth="1"/>
    <col min="12" max="12" width="7" customWidth="1"/>
    <col min="13" max="13" width="8" customWidth="1"/>
    <col min="14" max="15" width="4.625" customWidth="1"/>
    <col min="16" max="16" width="5.375" customWidth="1"/>
    <col min="17" max="18" width="5.125" customWidth="1"/>
    <col min="19" max="19" width="6.125" customWidth="1"/>
    <col min="20" max="20" width="7.375" customWidth="1"/>
    <col min="21" max="21" width="23.125" customWidth="1"/>
    <col min="22" max="22" width="8.375" style="114" customWidth="1"/>
    <col min="23" max="23" width="8.5" style="113" customWidth="1"/>
    <col min="24" max="24" width="7.625" style="193" customWidth="1"/>
    <col min="25" max="25" width="6.625" style="193" customWidth="1"/>
    <col min="26" max="26" width="17.5" customWidth="1"/>
    <col min="27" max="27" width="19" customWidth="1"/>
  </cols>
  <sheetData>
    <row r="1" ht="36.75" customHeight="1" spans="1:29">
      <c r="A1" s="298" t="s">
        <v>282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197" t="s">
        <v>1</v>
      </c>
      <c r="W1" s="198"/>
      <c r="X1" s="199"/>
      <c r="Y1" s="200">
        <f ca="1">TODAY()</f>
        <v>46277</v>
      </c>
      <c r="Z1" s="201"/>
    </row>
    <row r="2" s="190" customFormat="1" ht="21.95" customHeight="1" spans="1:29">
      <c r="A2" s="14" t="s">
        <v>2</v>
      </c>
      <c r="B2" s="15" t="s">
        <v>3</v>
      </c>
      <c r="C2" s="15" t="s">
        <v>4</v>
      </c>
      <c r="D2" s="15" t="s">
        <v>5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810" t="s">
        <v>13</v>
      </c>
      <c r="L2" s="811"/>
      <c r="M2" s="1030" t="s">
        <v>70</v>
      </c>
      <c r="N2" s="1031"/>
      <c r="O2" s="1032"/>
      <c r="P2" s="21" t="s">
        <v>177</v>
      </c>
      <c r="Q2" s="21" t="s">
        <v>71</v>
      </c>
      <c r="R2" s="22" t="s">
        <v>72</v>
      </c>
      <c r="S2" s="21" t="s">
        <v>19</v>
      </c>
      <c r="T2" s="22" t="s">
        <v>20</v>
      </c>
      <c r="U2" s="24" t="s">
        <v>21</v>
      </c>
      <c r="V2" s="25" t="s">
        <v>22</v>
      </c>
      <c r="W2" s="26" t="s">
        <v>23</v>
      </c>
      <c r="X2" s="204" t="s">
        <v>24</v>
      </c>
      <c r="Y2" s="204" t="s">
        <v>25</v>
      </c>
      <c r="Z2" s="27" t="s">
        <v>26</v>
      </c>
    </row>
    <row r="3" s="190" customFormat="1" ht="24.95" customHeight="1" spans="1:29">
      <c r="A3" s="14"/>
      <c r="B3" s="15"/>
      <c r="C3" s="15"/>
      <c r="D3" s="15"/>
      <c r="E3" s="15"/>
      <c r="F3" s="15"/>
      <c r="G3" s="15"/>
      <c r="H3" s="15"/>
      <c r="I3" s="15"/>
      <c r="J3" s="15"/>
      <c r="K3" s="740" t="s">
        <v>283</v>
      </c>
      <c r="L3" s="740" t="s">
        <v>284</v>
      </c>
      <c r="M3" s="1033" t="s">
        <v>73</v>
      </c>
      <c r="N3" s="1033" t="s">
        <v>74</v>
      </c>
      <c r="O3" s="1033" t="s">
        <v>75</v>
      </c>
      <c r="P3" s="21"/>
      <c r="Q3" s="21"/>
      <c r="R3" s="32"/>
      <c r="S3" s="21"/>
      <c r="T3" s="32"/>
      <c r="U3" s="24"/>
      <c r="V3" s="25"/>
      <c r="W3" s="26"/>
      <c r="X3" s="204"/>
      <c r="Y3" s="204"/>
      <c r="Z3" s="27"/>
      <c r="AC3" s="190" t="s">
        <v>285</v>
      </c>
    </row>
    <row r="4" s="190" customFormat="1" ht="24.95" customHeight="1" spans="1:29">
      <c r="A4" s="14"/>
      <c r="B4" s="15"/>
      <c r="C4" s="15"/>
      <c r="D4" s="1230" t="s">
        <v>286</v>
      </c>
      <c r="E4" s="15"/>
      <c r="F4" s="15"/>
      <c r="G4" s="15"/>
      <c r="H4" s="15"/>
      <c r="I4" s="15">
        <v>6000</v>
      </c>
      <c r="J4" s="15"/>
      <c r="K4" s="740">
        <v>3000</v>
      </c>
      <c r="L4" s="740">
        <v>3000</v>
      </c>
      <c r="M4" s="1033"/>
      <c r="N4" s="1033"/>
      <c r="O4" s="1033"/>
      <c r="P4" s="21"/>
      <c r="Q4" s="21"/>
      <c r="R4" s="32"/>
      <c r="S4" s="21"/>
      <c r="T4" s="32"/>
      <c r="U4" s="24"/>
      <c r="V4" s="25"/>
      <c r="W4" s="26"/>
      <c r="X4" s="204"/>
      <c r="Y4" s="204"/>
      <c r="Z4" s="27"/>
    </row>
    <row r="5" s="3" customFormat="1" ht="22.5" customHeight="1" spans="1:29">
      <c r="A5" s="215">
        <f>ROW()-3</f>
        <v>2</v>
      </c>
      <c r="B5" s="183"/>
      <c r="C5" s="96"/>
      <c r="D5" s="293" t="s">
        <v>240</v>
      </c>
      <c r="E5" s="217"/>
      <c r="F5" s="217"/>
      <c r="G5" s="217"/>
      <c r="H5" s="218"/>
      <c r="I5" s="95">
        <v>100</v>
      </c>
      <c r="J5" s="95"/>
      <c r="K5" s="277">
        <v>50</v>
      </c>
      <c r="L5" s="277">
        <v>50</v>
      </c>
      <c r="M5" s="219"/>
      <c r="N5" s="219"/>
      <c r="O5" s="219"/>
      <c r="P5" s="96"/>
      <c r="Q5" s="183"/>
      <c r="R5" s="183" t="s">
        <v>287</v>
      </c>
      <c r="S5" s="297"/>
      <c r="T5" s="96"/>
      <c r="U5" s="183"/>
      <c r="V5" s="97"/>
      <c r="W5" s="321"/>
      <c r="X5" s="222"/>
      <c r="Y5" s="97"/>
      <c r="Z5" s="178"/>
    </row>
    <row r="6" s="3" customFormat="1" ht="29.25" customHeight="1" spans="1:29">
      <c r="A6" s="215">
        <v>2</v>
      </c>
      <c r="B6" s="269"/>
      <c r="C6" s="270"/>
      <c r="D6" s="272"/>
      <c r="E6" s="273"/>
      <c r="F6" s="273"/>
      <c r="G6" s="273"/>
      <c r="H6" s="274"/>
      <c r="I6" s="276"/>
      <c r="J6" s="276"/>
      <c r="K6" s="276"/>
      <c r="L6" s="276"/>
      <c r="M6" s="219"/>
      <c r="N6" s="219"/>
      <c r="O6" s="219"/>
      <c r="P6" s="96"/>
      <c r="Q6" s="183"/>
      <c r="R6" s="183"/>
      <c r="S6" s="297"/>
      <c r="T6" s="96"/>
      <c r="U6" s="183"/>
      <c r="V6" s="97"/>
      <c r="W6" s="321"/>
      <c r="X6" s="222"/>
      <c r="Y6" s="97"/>
      <c r="Z6" s="178"/>
    </row>
    <row r="7" s="3" customFormat="1" ht="29.25" customHeight="1" spans="1:29">
      <c r="A7" s="215"/>
      <c r="B7" s="183"/>
      <c r="C7" s="96"/>
      <c r="D7" s="293"/>
      <c r="E7" s="217"/>
      <c r="F7" s="217"/>
      <c r="G7" s="217"/>
      <c r="H7" s="218"/>
      <c r="I7" s="95"/>
      <c r="J7" s="95"/>
      <c r="K7" s="277"/>
      <c r="L7" s="277"/>
      <c r="M7" s="219"/>
      <c r="N7" s="219"/>
      <c r="O7" s="219"/>
      <c r="P7" s="96"/>
      <c r="Q7" s="183"/>
      <c r="R7" s="183"/>
      <c r="S7" s="297"/>
      <c r="T7" s="96"/>
      <c r="U7" s="183"/>
      <c r="V7" s="97"/>
      <c r="W7" s="321"/>
      <c r="X7" s="222"/>
      <c r="Y7" s="97"/>
      <c r="Z7" s="178"/>
    </row>
    <row r="8" s="3" customFormat="1" ht="27" customHeight="1" spans="1:29">
      <c r="A8" s="215"/>
      <c r="B8" s="183"/>
      <c r="C8" s="96"/>
      <c r="D8" s="293"/>
      <c r="E8" s="217"/>
      <c r="F8" s="217"/>
      <c r="G8" s="217"/>
      <c r="H8" s="218"/>
      <c r="I8" s="95"/>
      <c r="J8" s="95"/>
      <c r="K8" s="277"/>
      <c r="L8" s="277"/>
      <c r="M8" s="219"/>
      <c r="N8" s="219"/>
      <c r="O8" s="219"/>
      <c r="P8" s="96"/>
      <c r="Q8" s="183"/>
      <c r="R8" s="183"/>
      <c r="S8" s="297"/>
      <c r="T8" s="96"/>
      <c r="U8" s="183"/>
      <c r="V8" s="97"/>
      <c r="W8" s="321"/>
      <c r="X8" s="222"/>
      <c r="Y8" s="97"/>
      <c r="Z8" s="178"/>
    </row>
    <row r="9" s="3" customFormat="1" ht="27" customHeight="1" spans="1:29">
      <c r="A9" s="215"/>
      <c r="B9" s="183"/>
      <c r="C9" s="96"/>
      <c r="D9" s="293"/>
      <c r="E9" s="217"/>
      <c r="F9" s="217"/>
      <c r="G9" s="217"/>
      <c r="H9" s="218"/>
      <c r="I9" s="95"/>
      <c r="J9" s="95"/>
      <c r="K9" s="277"/>
      <c r="L9" s="277"/>
      <c r="M9" s="219"/>
      <c r="N9" s="219"/>
      <c r="O9" s="219"/>
      <c r="P9" s="96"/>
      <c r="Q9" s="183"/>
      <c r="R9" s="183"/>
      <c r="S9" s="297"/>
      <c r="T9" s="96"/>
      <c r="U9" s="183"/>
      <c r="V9" s="97"/>
      <c r="W9" s="321"/>
      <c r="X9" s="222"/>
      <c r="Y9" s="97"/>
      <c r="Z9" s="178"/>
    </row>
    <row r="10" s="3" customFormat="1" ht="27" customHeight="1" spans="1:29">
      <c r="A10" s="215"/>
      <c r="B10" s="183"/>
      <c r="C10" s="96"/>
      <c r="D10" s="293"/>
      <c r="E10" s="217"/>
      <c r="F10" s="217"/>
      <c r="G10" s="217"/>
      <c r="H10" s="218"/>
      <c r="I10" s="95"/>
      <c r="J10" s="95"/>
      <c r="K10" s="277"/>
      <c r="L10" s="277"/>
      <c r="M10" s="219"/>
      <c r="N10" s="219"/>
      <c r="O10" s="219"/>
      <c r="P10" s="96"/>
      <c r="Q10" s="183"/>
      <c r="R10" s="183"/>
      <c r="S10" s="297"/>
      <c r="T10" s="96"/>
      <c r="U10" s="183"/>
      <c r="V10" s="97"/>
      <c r="W10" s="321"/>
      <c r="X10" s="222"/>
      <c r="Y10" s="97"/>
      <c r="Z10" s="178"/>
    </row>
    <row r="11" s="3" customFormat="1" ht="27" customHeight="1" spans="1:29">
      <c r="A11" s="215"/>
      <c r="B11" s="183"/>
      <c r="C11" s="96"/>
      <c r="D11" s="293"/>
      <c r="E11" s="217"/>
      <c r="F11" s="217"/>
      <c r="G11" s="217"/>
      <c r="H11" s="218"/>
      <c r="I11" s="95"/>
      <c r="J11" s="95"/>
      <c r="K11" s="277"/>
      <c r="L11" s="277"/>
      <c r="M11" s="219"/>
      <c r="N11" s="219"/>
      <c r="O11" s="219"/>
      <c r="P11" s="96"/>
      <c r="Q11" s="183"/>
      <c r="R11" s="183"/>
      <c r="S11" s="297"/>
      <c r="T11" s="96"/>
      <c r="U11" s="183"/>
      <c r="V11" s="97"/>
      <c r="W11" s="321"/>
      <c r="X11" s="222"/>
      <c r="Y11" s="97"/>
      <c r="Z11" s="178"/>
    </row>
    <row r="12" s="3" customFormat="1" ht="27" customHeight="1" spans="1:29">
      <c r="A12" s="215"/>
      <c r="B12" s="183"/>
      <c r="C12" s="96"/>
      <c r="D12" s="293"/>
      <c r="E12" s="217"/>
      <c r="F12" s="217"/>
      <c r="G12" s="217"/>
      <c r="H12" s="218"/>
      <c r="I12" s="95"/>
      <c r="J12" s="95"/>
      <c r="K12" s="277"/>
      <c r="L12" s="277"/>
      <c r="M12" s="219"/>
      <c r="N12" s="219"/>
      <c r="O12" s="219"/>
      <c r="P12" s="96"/>
      <c r="Q12" s="183"/>
      <c r="R12" s="183"/>
      <c r="S12" s="297"/>
      <c r="T12" s="96"/>
      <c r="U12" s="183"/>
      <c r="V12" s="97"/>
      <c r="W12" s="321"/>
      <c r="X12" s="222"/>
      <c r="Y12" s="97"/>
      <c r="Z12" s="178"/>
    </row>
    <row r="13" s="3" customFormat="1" ht="27" customHeight="1" spans="1:29">
      <c r="A13" s="215"/>
      <c r="B13" s="183"/>
      <c r="C13" s="96"/>
      <c r="D13" s="293"/>
      <c r="E13" s="217"/>
      <c r="F13" s="217"/>
      <c r="G13" s="217"/>
      <c r="H13" s="218"/>
      <c r="I13" s="95"/>
      <c r="J13" s="95"/>
      <c r="K13" s="277"/>
      <c r="L13" s="277"/>
      <c r="M13" s="219"/>
      <c r="N13" s="219"/>
      <c r="O13" s="219"/>
      <c r="P13" s="96"/>
      <c r="Q13" s="183"/>
      <c r="R13" s="183"/>
      <c r="S13" s="297"/>
      <c r="T13" s="96"/>
      <c r="U13" s="183"/>
      <c r="V13" s="97"/>
      <c r="W13" s="321"/>
      <c r="X13" s="222"/>
      <c r="Y13" s="97"/>
      <c r="Z13" s="178"/>
    </row>
    <row r="14" s="3" customFormat="1" ht="27" customHeight="1" spans="1:29">
      <c r="A14" s="215"/>
      <c r="B14" s="183"/>
      <c r="C14" s="96"/>
      <c r="D14" s="216"/>
      <c r="E14" s="217"/>
      <c r="F14" s="217"/>
      <c r="G14" s="217"/>
      <c r="H14" s="218"/>
      <c r="I14" s="95"/>
      <c r="J14" s="95"/>
      <c r="K14" s="277"/>
      <c r="L14" s="277"/>
      <c r="M14" s="219"/>
      <c r="N14" s="219"/>
      <c r="O14" s="219"/>
      <c r="P14" s="96"/>
      <c r="Q14" s="279"/>
      <c r="R14" s="279"/>
      <c r="S14" s="183"/>
      <c r="T14" s="183"/>
      <c r="U14" s="183"/>
      <c r="V14" s="97"/>
      <c r="W14" s="222"/>
      <c r="X14" s="97"/>
      <c r="Y14" s="97"/>
      <c r="Z14" s="178"/>
    </row>
    <row r="15" s="3" customFormat="1" ht="17.1" customHeight="1" spans="1:29">
      <c r="A15" s="93" t="s">
        <v>66</v>
      </c>
      <c r="B15" s="94"/>
      <c r="C15" s="94"/>
      <c r="D15" s="94"/>
      <c r="E15" s="94"/>
      <c r="F15" s="94"/>
      <c r="G15" s="94"/>
      <c r="H15" s="94"/>
      <c r="I15" s="95">
        <f>SUM(I5:I14)</f>
        <v>100</v>
      </c>
      <c r="J15" s="95"/>
      <c r="K15" s="95">
        <f>SUM(K5:K14)</f>
        <v>50</v>
      </c>
      <c r="L15" s="95">
        <f>SUM(L5:L14)</f>
        <v>50</v>
      </c>
      <c r="M15" s="95"/>
      <c r="N15" s="95"/>
      <c r="O15" s="95"/>
      <c r="P15" s="96"/>
      <c r="Q15" s="96"/>
      <c r="R15" s="96"/>
      <c r="S15" s="96"/>
      <c r="T15" s="96"/>
      <c r="U15" s="96"/>
      <c r="V15" s="97"/>
      <c r="W15" s="97"/>
      <c r="X15" s="97"/>
      <c r="Y15" s="97"/>
      <c r="Z15" s="98"/>
    </row>
    <row r="16" s="4" customFormat="1" ht="17.1" customHeight="1" spans="1:29">
      <c r="A16" s="99"/>
      <c r="B16" s="100"/>
      <c r="C16" s="100"/>
      <c r="D16" s="100"/>
      <c r="E16" s="100"/>
      <c r="F16" s="100"/>
      <c r="G16" s="100"/>
      <c r="H16" s="100"/>
      <c r="I16" s="133">
        <f>K16+L16</f>
        <v>0</v>
      </c>
      <c r="J16" s="100"/>
      <c r="K16" s="100"/>
      <c r="L16" s="100"/>
      <c r="M16" s="147"/>
      <c r="N16" s="147"/>
      <c r="O16" s="147"/>
      <c r="P16" s="100"/>
      <c r="Q16" s="100"/>
      <c r="R16" s="100"/>
      <c r="S16" s="100"/>
      <c r="T16" s="100"/>
      <c r="U16" s="100"/>
      <c r="V16" s="101"/>
      <c r="W16" s="101"/>
      <c r="X16" s="100"/>
      <c r="Y16" s="100"/>
      <c r="Z16" s="102"/>
    </row>
    <row r="17" s="4" customFormat="1" ht="19.5" customHeight="1" spans="1:26">
      <c r="A17" s="241" t="s">
        <v>67</v>
      </c>
      <c r="B17" s="242"/>
      <c r="C17" s="242"/>
      <c r="D17" s="242"/>
      <c r="E17" s="242"/>
      <c r="F17" s="242"/>
      <c r="G17" s="242"/>
      <c r="H17" s="243"/>
      <c r="I17" s="244">
        <f>I16-I15</f>
        <v>-100</v>
      </c>
      <c r="J17" s="245"/>
      <c r="K17" s="964">
        <f>K16-K15</f>
        <v>-50</v>
      </c>
      <c r="L17" s="964">
        <f>L16-L15</f>
        <v>-50</v>
      </c>
      <c r="M17" s="106"/>
      <c r="N17" s="106"/>
      <c r="O17" s="106"/>
      <c r="P17" s="106"/>
      <c r="Q17" s="106"/>
      <c r="R17" s="106"/>
      <c r="S17" s="106"/>
      <c r="T17" s="106"/>
      <c r="U17" s="106"/>
      <c r="V17" s="108"/>
      <c r="W17" s="108"/>
      <c r="X17" s="107"/>
      <c r="Y17" s="107"/>
      <c r="Z17" s="109"/>
    </row>
    <row r="18" spans="1:26">
      <c r="B18" s="110" t="s">
        <v>68</v>
      </c>
      <c r="C18" s="110"/>
      <c r="D18" s="111"/>
      <c r="E18" s="111"/>
      <c r="F18" s="111"/>
      <c r="G18" s="111" t="s">
        <v>281</v>
      </c>
      <c r="H18" s="111"/>
      <c r="I18">
        <f>SUM(K18:L18)</f>
        <v>5900</v>
      </c>
      <c r="K18" s="1222">
        <f>K4-K5-K6</f>
        <v>2950</v>
      </c>
      <c r="L18" s="1222">
        <f>L4-L5-L6</f>
        <v>2950</v>
      </c>
    </row>
  </sheetData>
  <mergeCells count="29">
    <mergeCell ref="A1:U1"/>
    <mergeCell ref="V1:X1"/>
    <mergeCell ref="Y1:Z1"/>
    <mergeCell ref="K2:L2"/>
    <mergeCell ref="M2:O2"/>
    <mergeCell ref="A15:H15"/>
    <mergeCell ref="A16:H16"/>
    <mergeCell ref="A17:H1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</mergeCells>
  <conditionalFormatting sqref="M17:U17">
    <cfRule type="cellIs" dxfId="0" priority="1" operator="lessThan">
      <formula>0</formula>
    </cfRule>
  </conditionalFormatting>
  <printOptions horizontalCentered="1"/>
  <pageMargins left="0.31496062992126" right="0.31496062992126" top="0.354330708661417" bottom="0.354330708661417" header="0.31496062992126" footer="0.31496062992126"/>
  <pageSetup paperSize="9" scale="64" fitToHeight="0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3A7DF"/>
    <pageSetUpPr fitToPage="1"/>
  </sheetPr>
  <dimension ref="A1:AD10"/>
  <sheetViews>
    <sheetView view="pageBreakPreview" zoomScaleNormal="100" workbookViewId="0">
      <pane xSplit="10" ySplit="3" topLeftCell="K4" activePane="bottomRight" state="frozen"/>
      <selection/>
      <selection pane="topRight"/>
      <selection pane="bottomLeft"/>
      <selection pane="bottomRight" activeCell="P13" sqref="P13"/>
    </sheetView>
  </sheetViews>
  <sheetFormatPr defaultColWidth="9" defaultRowHeight="14.25"/>
  <cols>
    <col min="1" max="1" width="3.125" customWidth="1"/>
    <col min="2" max="2" width="9.5" customWidth="1"/>
    <col min="3" max="3" width="6.375" customWidth="1"/>
    <col min="4" max="4" width="11.875" customWidth="1"/>
    <col min="5" max="7" width="5.875" customWidth="1"/>
    <col min="8" max="8" width="6.5" customWidth="1"/>
    <col min="9" max="9" width="9" customWidth="1"/>
    <col min="10" max="10" width="4.625" customWidth="1"/>
    <col min="11" max="14" width="7" customWidth="1"/>
    <col min="15" max="15" width="8" customWidth="1"/>
    <col min="16" max="16" width="5.625" customWidth="1"/>
    <col min="17" max="17" width="5.125" customWidth="1"/>
    <col min="18" max="18" width="5.375" customWidth="1"/>
    <col min="19" max="21" width="5.125" customWidth="1"/>
    <col min="22" max="22" width="6.125" customWidth="1"/>
    <col min="23" max="23" width="8.875" customWidth="1"/>
    <col min="24" max="24" width="19.375" customWidth="1"/>
    <col min="25" max="25" width="8.375" style="114" customWidth="1"/>
    <col min="26" max="26" width="8.5" style="113" customWidth="1"/>
    <col min="27" max="27" width="7.625" style="193" customWidth="1"/>
    <col min="28" max="28" width="6.625" style="193" customWidth="1"/>
    <col min="29" max="29" width="19.125" customWidth="1"/>
    <col min="30" max="30" width="17.625" style="1224" customWidth="1"/>
  </cols>
  <sheetData>
    <row r="1" ht="36.75" customHeight="1" spans="1:30">
      <c r="A1" s="298" t="s">
        <v>288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197" t="s">
        <v>1</v>
      </c>
      <c r="Z1" s="198"/>
      <c r="AA1" s="199"/>
      <c r="AB1" s="200">
        <f ca="1">TODAY()</f>
        <v>46277</v>
      </c>
      <c r="AC1" s="201"/>
    </row>
    <row r="2" s="190" customFormat="1" ht="21.95" customHeight="1" spans="1:30">
      <c r="A2" s="14" t="s">
        <v>2</v>
      </c>
      <c r="B2" s="15" t="s">
        <v>3</v>
      </c>
      <c r="C2" s="15" t="s">
        <v>4</v>
      </c>
      <c r="D2" s="15" t="s">
        <v>5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810" t="s">
        <v>13</v>
      </c>
      <c r="L2" s="811"/>
      <c r="M2" s="811"/>
      <c r="N2" s="812"/>
      <c r="O2" s="1030" t="s">
        <v>70</v>
      </c>
      <c r="P2" s="1031"/>
      <c r="Q2" s="1032"/>
      <c r="R2" s="21" t="s">
        <v>177</v>
      </c>
      <c r="S2" s="21" t="s">
        <v>289</v>
      </c>
      <c r="T2" s="22" t="s">
        <v>72</v>
      </c>
      <c r="U2" s="22" t="s">
        <v>290</v>
      </c>
      <c r="V2" s="21" t="s">
        <v>19</v>
      </c>
      <c r="W2" s="22" t="s">
        <v>20</v>
      </c>
      <c r="X2" s="24" t="s">
        <v>21</v>
      </c>
      <c r="Y2" s="25" t="s">
        <v>22</v>
      </c>
      <c r="Z2" s="26" t="s">
        <v>23</v>
      </c>
      <c r="AA2" s="204" t="s">
        <v>24</v>
      </c>
      <c r="AB2" s="204" t="s">
        <v>25</v>
      </c>
      <c r="AC2" s="27" t="s">
        <v>26</v>
      </c>
      <c r="AD2" s="1225" t="s">
        <v>291</v>
      </c>
    </row>
    <row r="3" s="190" customFormat="1" ht="24.95" customHeight="1" spans="1:30">
      <c r="A3" s="14"/>
      <c r="B3" s="15"/>
      <c r="C3" s="15"/>
      <c r="D3" s="15"/>
      <c r="E3" s="15"/>
      <c r="F3" s="15"/>
      <c r="G3" s="15"/>
      <c r="H3" s="15"/>
      <c r="I3" s="15"/>
      <c r="J3" s="15"/>
      <c r="K3" s="740" t="s">
        <v>292</v>
      </c>
      <c r="L3" s="740" t="s">
        <v>293</v>
      </c>
      <c r="M3" s="740" t="s">
        <v>294</v>
      </c>
      <c r="N3" s="740" t="s">
        <v>295</v>
      </c>
      <c r="O3" s="1033" t="s">
        <v>73</v>
      </c>
      <c r="P3" s="1033" t="s">
        <v>74</v>
      </c>
      <c r="Q3" s="1033" t="s">
        <v>75</v>
      </c>
      <c r="R3" s="21"/>
      <c r="S3" s="21"/>
      <c r="T3" s="32"/>
      <c r="U3" s="32"/>
      <c r="V3" s="21"/>
      <c r="W3" s="32"/>
      <c r="X3" s="24"/>
      <c r="Y3" s="25"/>
      <c r="Z3" s="26"/>
      <c r="AA3" s="204"/>
      <c r="AB3" s="204"/>
      <c r="AC3" s="27"/>
      <c r="AD3" s="1226"/>
    </row>
    <row r="4" s="3" customFormat="1" ht="27" hidden="1" customHeight="1" spans="1:30">
      <c r="A4" s="208">
        <f>ROW()-3</f>
        <v>1</v>
      </c>
      <c r="B4" s="48" t="s">
        <v>241</v>
      </c>
      <c r="C4" s="49" t="s">
        <v>296</v>
      </c>
      <c r="D4" s="51" t="s">
        <v>297</v>
      </c>
      <c r="E4" s="52"/>
      <c r="F4" s="52">
        <v>46133</v>
      </c>
      <c r="G4" s="52">
        <v>46133</v>
      </c>
      <c r="H4" s="53">
        <v>46107</v>
      </c>
      <c r="I4" s="175">
        <f>SUM(K4:N4)</f>
        <v>5280</v>
      </c>
      <c r="J4" s="175">
        <v>4</v>
      </c>
      <c r="K4" s="175">
        <v>2640</v>
      </c>
      <c r="L4" s="175"/>
      <c r="M4" s="175">
        <v>1320</v>
      </c>
      <c r="N4" s="175">
        <v>1320</v>
      </c>
      <c r="O4" s="49" t="s">
        <v>80</v>
      </c>
      <c r="P4" s="49" t="s">
        <v>81</v>
      </c>
      <c r="Q4" s="305" t="s">
        <v>82</v>
      </c>
      <c r="R4" s="49" t="s">
        <v>81</v>
      </c>
      <c r="S4" s="48" t="s">
        <v>298</v>
      </c>
      <c r="T4" s="48" t="s">
        <v>82</v>
      </c>
      <c r="U4" s="48" t="s">
        <v>82</v>
      </c>
      <c r="V4" s="305" t="s">
        <v>299</v>
      </c>
      <c r="W4" s="49" t="s">
        <v>80</v>
      </c>
      <c r="X4" s="48" t="s">
        <v>300</v>
      </c>
      <c r="Y4" s="992">
        <v>46133</v>
      </c>
      <c r="Z4" s="211">
        <v>46135</v>
      </c>
      <c r="AA4" s="308"/>
      <c r="AB4" s="176">
        <v>46137</v>
      </c>
      <c r="AC4" s="177" t="s">
        <v>301</v>
      </c>
      <c r="AD4" s="1227" t="s">
        <v>302</v>
      </c>
    </row>
    <row r="5" s="3" customFormat="1" ht="27" customHeight="1" spans="1:30">
      <c r="A5" s="215"/>
      <c r="B5" s="183"/>
      <c r="C5" s="96"/>
      <c r="D5" s="293"/>
      <c r="E5" s="217"/>
      <c r="F5" s="217"/>
      <c r="G5" s="217"/>
      <c r="H5" s="218"/>
      <c r="I5" s="95"/>
      <c r="J5" s="95"/>
      <c r="K5" s="277"/>
      <c r="L5" s="277"/>
      <c r="M5" s="277"/>
      <c r="N5" s="277"/>
      <c r="O5" s="219"/>
      <c r="P5" s="219"/>
      <c r="Q5" s="1208"/>
      <c r="R5" s="96"/>
      <c r="S5" s="183"/>
      <c r="T5" s="183"/>
      <c r="U5" s="183"/>
      <c r="V5" s="297"/>
      <c r="W5" s="96"/>
      <c r="X5" s="183"/>
      <c r="Y5" s="1212"/>
      <c r="Z5" s="321"/>
      <c r="AA5" s="222"/>
      <c r="AB5" s="97"/>
      <c r="AC5" s="178"/>
      <c r="AD5" s="1227"/>
    </row>
    <row r="6" s="3" customFormat="1" ht="27" customHeight="1" spans="1:30">
      <c r="A6" s="215"/>
      <c r="B6" s="183"/>
      <c r="C6" s="96"/>
      <c r="D6" s="293"/>
      <c r="E6" s="217"/>
      <c r="F6" s="217"/>
      <c r="G6" s="217"/>
      <c r="H6" s="218"/>
      <c r="I6" s="95"/>
      <c r="J6" s="95"/>
      <c r="K6" s="277"/>
      <c r="L6" s="277"/>
      <c r="M6" s="277"/>
      <c r="N6" s="277"/>
      <c r="O6" s="219"/>
      <c r="P6" s="219"/>
      <c r="Q6" s="1208"/>
      <c r="R6" s="96"/>
      <c r="S6" s="183"/>
      <c r="T6" s="183"/>
      <c r="U6" s="183"/>
      <c r="V6" s="297"/>
      <c r="W6" s="96"/>
      <c r="X6" s="183"/>
      <c r="Y6" s="1212"/>
      <c r="Z6" s="321"/>
      <c r="AA6" s="222"/>
      <c r="AB6" s="97"/>
      <c r="AC6" s="178"/>
      <c r="AD6" s="1227"/>
    </row>
    <row r="7" s="3" customFormat="1" ht="17.1" customHeight="1" spans="1:30">
      <c r="A7" s="93" t="s">
        <v>66</v>
      </c>
      <c r="B7" s="94"/>
      <c r="C7" s="94"/>
      <c r="D7" s="94"/>
      <c r="E7" s="94"/>
      <c r="F7" s="94"/>
      <c r="G7" s="94"/>
      <c r="H7" s="94"/>
      <c r="I7" s="95">
        <f>SUM(I4:I6)</f>
        <v>5280</v>
      </c>
      <c r="J7" s="95"/>
      <c r="K7" s="95">
        <f>SUM(K4:K6)</f>
        <v>2640</v>
      </c>
      <c r="L7" s="95">
        <f>SUM(L4:L6)</f>
        <v>0</v>
      </c>
      <c r="M7" s="95">
        <f>SUM(M4:M6)</f>
        <v>1320</v>
      </c>
      <c r="N7" s="95">
        <f>SUM(N4:N6)</f>
        <v>1320</v>
      </c>
      <c r="O7" s="95"/>
      <c r="P7" s="95"/>
      <c r="Q7" s="95"/>
      <c r="R7" s="96"/>
      <c r="S7" s="96"/>
      <c r="T7" s="96"/>
      <c r="U7" s="96"/>
      <c r="V7" s="96"/>
      <c r="W7" s="96"/>
      <c r="X7" s="96"/>
      <c r="Y7" s="97"/>
      <c r="Z7" s="97"/>
      <c r="AA7" s="97"/>
      <c r="AB7" s="97"/>
      <c r="AC7" s="98"/>
      <c r="AD7" s="1227"/>
    </row>
    <row r="8" s="4" customFormat="1" ht="17.1" customHeight="1" spans="1:30">
      <c r="A8" s="99"/>
      <c r="B8" s="100"/>
      <c r="C8" s="100"/>
      <c r="D8" s="100"/>
      <c r="E8" s="100"/>
      <c r="F8" s="100"/>
      <c r="G8" s="100"/>
      <c r="H8" s="100"/>
      <c r="I8" s="133">
        <f>SUM(K8:N8)</f>
        <v>5896</v>
      </c>
      <c r="J8" s="100"/>
      <c r="K8" s="100">
        <f>2948</f>
        <v>2948</v>
      </c>
      <c r="L8" s="100"/>
      <c r="M8" s="100">
        <f>1474</f>
        <v>1474</v>
      </c>
      <c r="N8" s="100">
        <f>1474</f>
        <v>1474</v>
      </c>
      <c r="O8" s="147"/>
      <c r="P8" s="147"/>
      <c r="Q8" s="147"/>
      <c r="R8" s="100"/>
      <c r="S8" s="100"/>
      <c r="T8" s="100"/>
      <c r="U8" s="100"/>
      <c r="V8" s="100"/>
      <c r="W8" s="100"/>
      <c r="X8" s="100"/>
      <c r="Y8" s="101"/>
      <c r="Z8" s="101"/>
      <c r="AA8" s="100"/>
      <c r="AB8" s="100"/>
      <c r="AC8" s="102"/>
      <c r="AD8" s="1228"/>
    </row>
    <row r="9" s="4" customFormat="1" ht="19.5" customHeight="1" spans="1:30">
      <c r="A9" s="241" t="s">
        <v>67</v>
      </c>
      <c r="B9" s="242"/>
      <c r="C9" s="242"/>
      <c r="D9" s="242"/>
      <c r="E9" s="242"/>
      <c r="F9" s="242"/>
      <c r="G9" s="242"/>
      <c r="H9" s="243"/>
      <c r="I9" s="105">
        <f t="shared" ref="I9:N9" si="0">I8-I7</f>
        <v>616</v>
      </c>
      <c r="J9" s="245"/>
      <c r="K9" s="1229">
        <f t="shared" si="0"/>
        <v>308</v>
      </c>
      <c r="L9" s="1229">
        <f t="shared" si="0"/>
        <v>0</v>
      </c>
      <c r="M9" s="1229">
        <f t="shared" si="0"/>
        <v>154</v>
      </c>
      <c r="N9" s="1229">
        <f t="shared" si="0"/>
        <v>154</v>
      </c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8"/>
      <c r="Z9" s="108"/>
      <c r="AA9" s="107"/>
      <c r="AB9" s="107"/>
      <c r="AC9" s="109"/>
      <c r="AD9" s="1228"/>
    </row>
    <row r="10" spans="1:30">
      <c r="B10" s="110" t="s">
        <v>68</v>
      </c>
      <c r="C10" s="110"/>
      <c r="D10" s="111"/>
      <c r="E10" s="111"/>
      <c r="F10" s="111"/>
      <c r="G10" s="111"/>
      <c r="H10" s="111"/>
    </row>
  </sheetData>
  <autoFilter xmlns:etc="http://www.wps.cn/officeDocument/2017/etCustomData" ref="A2:AD4" etc:filterBottomFollowUsedRange="0">
    <filterColumn colId="27">
      <customFilters>
        <customFilter operator="equal" val="是否出货"/>
      </customFilters>
    </filterColumn>
    <extLst/>
  </autoFilter>
  <mergeCells count="30">
    <mergeCell ref="A1:X1"/>
    <mergeCell ref="Y1:AA1"/>
    <mergeCell ref="AB1:AC1"/>
    <mergeCell ref="K2:N2"/>
    <mergeCell ref="O2:Q2"/>
    <mergeCell ref="A7:H7"/>
    <mergeCell ref="A8:H8"/>
    <mergeCell ref="A9:H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</mergeCells>
  <conditionalFormatting sqref="O9:X9">
    <cfRule type="cellIs" dxfId="0" priority="1" operator="lessThan">
      <formula>0</formula>
    </cfRule>
  </conditionalFormatting>
  <printOptions horizontalCentered="1"/>
  <pageMargins left="0.31496062992126" right="0.31496062992126" top="0.354330708661417" bottom="0.354330708661417" header="0.31496062992126" footer="0.31496062992126"/>
  <pageSetup paperSize="9" scale="60" orientation="landscape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AH19"/>
  <sheetViews>
    <sheetView view="pageBreakPreview" zoomScaleNormal="100" workbookViewId="0">
      <pane xSplit="11" ySplit="3" topLeftCell="L4" activePane="bottomRight" state="frozen"/>
      <selection/>
      <selection pane="topRight"/>
      <selection pane="bottomLeft"/>
      <selection pane="bottomRight" activeCell="A1" sqref="A1:Z1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5" width="11.125" customWidth="1"/>
    <col min="6" max="9" width="5.625" customWidth="1"/>
    <col min="10" max="10" width="8.125" customWidth="1"/>
    <col min="11" max="11" width="4.625" customWidth="1"/>
    <col min="12" max="12" width="6.875" customWidth="1"/>
    <col min="13" max="13" width="7" customWidth="1"/>
    <col min="14" max="14" width="7.125" customWidth="1"/>
    <col min="15" max="15" width="6.875" customWidth="1"/>
    <col min="16" max="16" width="7.125" customWidth="1"/>
    <col min="17" max="17" width="8" customWidth="1"/>
    <col min="18" max="19" width="4.625" customWidth="1"/>
    <col min="20" max="20" width="5.375" customWidth="1"/>
    <col min="21" max="22" width="5.125" customWidth="1"/>
    <col min="23" max="23" width="5.875" customWidth="1"/>
    <col min="24" max="24" width="6.125" customWidth="1"/>
    <col min="25" max="25" width="7.375" customWidth="1"/>
    <col min="26" max="26" width="18.875" customWidth="1"/>
    <col min="27" max="27" width="8.375" style="114" customWidth="1"/>
    <col min="28" max="28" width="8.5" style="113" customWidth="1"/>
    <col min="29" max="30" width="7.625" style="193" customWidth="1"/>
    <col min="31" max="31" width="17.5" customWidth="1"/>
    <col min="32" max="32" width="19" customWidth="1"/>
  </cols>
  <sheetData>
    <row r="1" ht="36.75" customHeight="1" spans="1:34">
      <c r="A1" s="329" t="s">
        <v>303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30" t="s">
        <v>1</v>
      </c>
      <c r="AB1" s="330"/>
      <c r="AC1" s="330"/>
      <c r="AD1" s="331">
        <f ca="1">TODAY()</f>
        <v>46277</v>
      </c>
      <c r="AE1" s="841"/>
    </row>
    <row r="2" s="190" customFormat="1" ht="21.95" customHeight="1" spans="1:34">
      <c r="A2" s="15" t="s">
        <v>2</v>
      </c>
      <c r="B2" s="15" t="s">
        <v>3</v>
      </c>
      <c r="C2" s="15" t="s">
        <v>4</v>
      </c>
      <c r="D2" s="15" t="s">
        <v>5</v>
      </c>
      <c r="E2" s="16"/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810" t="s">
        <v>13</v>
      </c>
      <c r="M2" s="811"/>
      <c r="N2" s="811"/>
      <c r="O2" s="811"/>
      <c r="P2" s="811"/>
      <c r="Q2" s="19" t="s">
        <v>70</v>
      </c>
      <c r="R2" s="19"/>
      <c r="S2" s="19"/>
      <c r="T2" s="21" t="s">
        <v>177</v>
      </c>
      <c r="U2" s="21" t="s">
        <v>71</v>
      </c>
      <c r="V2" s="21" t="s">
        <v>72</v>
      </c>
      <c r="W2" s="21" t="s">
        <v>304</v>
      </c>
      <c r="X2" s="21" t="s">
        <v>19</v>
      </c>
      <c r="Y2" s="21" t="s">
        <v>20</v>
      </c>
      <c r="Z2" s="24" t="s">
        <v>21</v>
      </c>
      <c r="AA2" s="25" t="s">
        <v>22</v>
      </c>
      <c r="AB2" s="26" t="s">
        <v>23</v>
      </c>
      <c r="AC2" s="204" t="s">
        <v>24</v>
      </c>
      <c r="AD2" s="204" t="s">
        <v>25</v>
      </c>
      <c r="AE2" s="15" t="s">
        <v>26</v>
      </c>
    </row>
    <row r="3" s="190" customFormat="1" ht="36" customHeight="1" spans="1:34">
      <c r="A3" s="15"/>
      <c r="B3" s="15"/>
      <c r="C3" s="15"/>
      <c r="D3" s="15"/>
      <c r="E3" s="29"/>
      <c r="F3" s="15"/>
      <c r="G3" s="15"/>
      <c r="H3" s="15"/>
      <c r="I3" s="15"/>
      <c r="J3" s="15"/>
      <c r="K3" s="15"/>
      <c r="L3" s="740" t="s">
        <v>305</v>
      </c>
      <c r="M3" s="740" t="s">
        <v>306</v>
      </c>
      <c r="N3" s="740" t="s">
        <v>307</v>
      </c>
      <c r="O3" s="740" t="s">
        <v>308</v>
      </c>
      <c r="P3" s="740" t="s">
        <v>309</v>
      </c>
      <c r="Q3" s="1033" t="s">
        <v>73</v>
      </c>
      <c r="R3" s="1033" t="s">
        <v>74</v>
      </c>
      <c r="S3" s="1033" t="s">
        <v>75</v>
      </c>
      <c r="T3" s="21"/>
      <c r="U3" s="21"/>
      <c r="V3" s="21"/>
      <c r="W3" s="21"/>
      <c r="X3" s="21"/>
      <c r="Y3" s="21"/>
      <c r="Z3" s="24"/>
      <c r="AA3" s="25"/>
      <c r="AB3" s="26"/>
      <c r="AC3" s="204"/>
      <c r="AD3" s="204"/>
      <c r="AE3" s="15"/>
      <c r="AH3" s="190" t="s">
        <v>285</v>
      </c>
    </row>
    <row r="4" s="3" customFormat="1" ht="27" hidden="1" customHeight="1" spans="1:34">
      <c r="A4" s="49">
        <f>ROW()-3</f>
        <v>1</v>
      </c>
      <c r="B4" s="48" t="s">
        <v>310</v>
      </c>
      <c r="C4" s="49" t="s">
        <v>271</v>
      </c>
      <c r="D4" s="51" t="s">
        <v>311</v>
      </c>
      <c r="E4" s="51"/>
      <c r="F4" s="52">
        <v>45834</v>
      </c>
      <c r="G4" s="52">
        <v>45981</v>
      </c>
      <c r="H4" s="52">
        <v>45981</v>
      </c>
      <c r="I4" s="53">
        <v>45958</v>
      </c>
      <c r="J4" s="175">
        <v>8016</v>
      </c>
      <c r="K4" s="175">
        <v>8</v>
      </c>
      <c r="L4" s="175"/>
      <c r="M4" s="175"/>
      <c r="N4" s="175">
        <v>8016</v>
      </c>
      <c r="O4" s="175"/>
      <c r="P4" s="175"/>
      <c r="Q4" s="49" t="s">
        <v>312</v>
      </c>
      <c r="R4" s="49" t="s">
        <v>104</v>
      </c>
      <c r="S4" s="49" t="s">
        <v>313</v>
      </c>
      <c r="T4" s="49" t="s">
        <v>81</v>
      </c>
      <c r="U4" s="48" t="s">
        <v>314</v>
      </c>
      <c r="V4" s="48" t="s">
        <v>313</v>
      </c>
      <c r="W4" s="48" t="s">
        <v>315</v>
      </c>
      <c r="X4" s="305" t="s">
        <v>316</v>
      </c>
      <c r="Y4" s="49" t="s">
        <v>312</v>
      </c>
      <c r="Z4" s="48" t="s">
        <v>317</v>
      </c>
      <c r="AA4" s="176">
        <v>45981</v>
      </c>
      <c r="AB4" s="211">
        <v>45996</v>
      </c>
      <c r="AC4" s="308"/>
      <c r="AD4" s="176">
        <v>46049</v>
      </c>
      <c r="AE4" s="48">
        <v>2200131</v>
      </c>
      <c r="AF4" s="3" t="s">
        <v>318</v>
      </c>
      <c r="AG4" s="3" t="s">
        <v>319</v>
      </c>
    </row>
    <row r="5" s="3" customFormat="1" ht="27" hidden="1" customHeight="1" spans="1:34">
      <c r="A5" s="49">
        <f>ROW()-3</f>
        <v>2</v>
      </c>
      <c r="B5" s="48" t="s">
        <v>310</v>
      </c>
      <c r="C5" s="49" t="s">
        <v>271</v>
      </c>
      <c r="D5" s="51" t="s">
        <v>311</v>
      </c>
      <c r="E5" s="51"/>
      <c r="F5" s="52">
        <v>45834</v>
      </c>
      <c r="G5" s="52">
        <v>45981</v>
      </c>
      <c r="H5" s="52">
        <v>45981</v>
      </c>
      <c r="I5" s="53">
        <v>45958</v>
      </c>
      <c r="J5" s="175">
        <v>3000</v>
      </c>
      <c r="K5" s="175">
        <v>8</v>
      </c>
      <c r="L5" s="175"/>
      <c r="M5" s="175"/>
      <c r="N5" s="175"/>
      <c r="O5" s="175"/>
      <c r="P5" s="175">
        <v>3000</v>
      </c>
      <c r="Q5" s="49" t="s">
        <v>312</v>
      </c>
      <c r="R5" s="49" t="s">
        <v>104</v>
      </c>
      <c r="S5" s="49" t="s">
        <v>320</v>
      </c>
      <c r="T5" s="49" t="s">
        <v>81</v>
      </c>
      <c r="U5" s="48" t="s">
        <v>321</v>
      </c>
      <c r="V5" s="48" t="s">
        <v>322</v>
      </c>
      <c r="W5" s="48" t="s">
        <v>315</v>
      </c>
      <c r="X5" s="305" t="s">
        <v>316</v>
      </c>
      <c r="Y5" s="49" t="s">
        <v>312</v>
      </c>
      <c r="Z5" s="48" t="s">
        <v>317</v>
      </c>
      <c r="AA5" s="176">
        <v>45981</v>
      </c>
      <c r="AB5" s="211">
        <v>46003</v>
      </c>
      <c r="AC5" s="308"/>
      <c r="AD5" s="176">
        <v>46049</v>
      </c>
      <c r="AE5" s="48">
        <v>2200131</v>
      </c>
      <c r="AF5" s="3" t="s">
        <v>323</v>
      </c>
      <c r="AG5" s="3" t="s">
        <v>319</v>
      </c>
    </row>
    <row r="6" s="3" customFormat="1" ht="39" hidden="1" customHeight="1" spans="1:34">
      <c r="A6" s="49">
        <f t="shared" ref="A6:A13" si="0">ROW()-3</f>
        <v>3</v>
      </c>
      <c r="B6" s="48" t="s">
        <v>324</v>
      </c>
      <c r="C6" s="48" t="s">
        <v>325</v>
      </c>
      <c r="D6" s="51" t="s">
        <v>326</v>
      </c>
      <c r="E6" s="51"/>
      <c r="F6" s="52">
        <v>45975</v>
      </c>
      <c r="G6" s="52">
        <v>46018</v>
      </c>
      <c r="H6" s="52">
        <v>46018</v>
      </c>
      <c r="I6" s="53">
        <v>45978</v>
      </c>
      <c r="J6" s="175">
        <v>48</v>
      </c>
      <c r="K6" s="175">
        <v>24</v>
      </c>
      <c r="L6" s="175">
        <v>48</v>
      </c>
      <c r="M6" s="175"/>
      <c r="N6" s="175"/>
      <c r="O6" s="175"/>
      <c r="P6" s="175"/>
      <c r="Q6" s="49" t="s">
        <v>327</v>
      </c>
      <c r="R6" s="49" t="s">
        <v>104</v>
      </c>
      <c r="S6" s="49" t="s">
        <v>328</v>
      </c>
      <c r="T6" s="49" t="s">
        <v>81</v>
      </c>
      <c r="U6" s="48" t="s">
        <v>84</v>
      </c>
      <c r="V6" s="48" t="s">
        <v>105</v>
      </c>
      <c r="W6" s="48" t="s">
        <v>329</v>
      </c>
      <c r="X6" s="305" t="s">
        <v>330</v>
      </c>
      <c r="Y6" s="49" t="s">
        <v>327</v>
      </c>
      <c r="Z6" s="48" t="s">
        <v>331</v>
      </c>
      <c r="AA6" s="176">
        <v>46016</v>
      </c>
      <c r="AB6" s="317">
        <v>46017</v>
      </c>
      <c r="AC6" s="308"/>
      <c r="AD6" s="176">
        <v>46039</v>
      </c>
      <c r="AE6" s="48" t="s">
        <v>332</v>
      </c>
      <c r="AF6" s="159" t="s">
        <v>333</v>
      </c>
    </row>
    <row r="7" s="3" customFormat="1" ht="39" hidden="1" customHeight="1" spans="1:34">
      <c r="A7" s="49">
        <f t="shared" si="0"/>
        <v>4</v>
      </c>
      <c r="B7" s="48" t="s">
        <v>324</v>
      </c>
      <c r="C7" s="48" t="s">
        <v>325</v>
      </c>
      <c r="D7" s="51" t="s">
        <v>326</v>
      </c>
      <c r="E7" s="51"/>
      <c r="F7" s="52">
        <v>45975</v>
      </c>
      <c r="G7" s="52">
        <v>46018</v>
      </c>
      <c r="H7" s="52">
        <v>46018</v>
      </c>
      <c r="I7" s="53">
        <v>45978</v>
      </c>
      <c r="J7" s="175">
        <v>2016</v>
      </c>
      <c r="K7" s="175">
        <v>24</v>
      </c>
      <c r="L7" s="175"/>
      <c r="M7" s="175">
        <v>2016</v>
      </c>
      <c r="N7" s="175"/>
      <c r="O7" s="175"/>
      <c r="P7" s="175"/>
      <c r="Q7" s="49" t="s">
        <v>327</v>
      </c>
      <c r="R7" s="49" t="s">
        <v>104</v>
      </c>
      <c r="S7" s="49" t="s">
        <v>328</v>
      </c>
      <c r="T7" s="49" t="s">
        <v>81</v>
      </c>
      <c r="U7" s="48" t="s">
        <v>84</v>
      </c>
      <c r="V7" s="48" t="s">
        <v>105</v>
      </c>
      <c r="W7" s="48" t="s">
        <v>329</v>
      </c>
      <c r="X7" s="305" t="s">
        <v>330</v>
      </c>
      <c r="Y7" s="49" t="s">
        <v>327</v>
      </c>
      <c r="Z7" s="48" t="s">
        <v>331</v>
      </c>
      <c r="AA7" s="176">
        <v>46016</v>
      </c>
      <c r="AB7" s="317">
        <v>46017</v>
      </c>
      <c r="AC7" s="308"/>
      <c r="AD7" s="176">
        <v>46039</v>
      </c>
      <c r="AE7" s="48" t="s">
        <v>332</v>
      </c>
      <c r="AF7" s="159" t="s">
        <v>334</v>
      </c>
    </row>
    <row r="8" s="3" customFormat="1" ht="39" hidden="1" customHeight="1" spans="1:34">
      <c r="A8" s="49">
        <f t="shared" si="0"/>
        <v>5</v>
      </c>
      <c r="B8" s="48" t="s">
        <v>324</v>
      </c>
      <c r="C8" s="48" t="s">
        <v>325</v>
      </c>
      <c r="D8" s="51" t="s">
        <v>326</v>
      </c>
      <c r="E8" s="51"/>
      <c r="F8" s="52">
        <v>45975</v>
      </c>
      <c r="G8" s="52">
        <v>46018</v>
      </c>
      <c r="H8" s="52">
        <v>46018</v>
      </c>
      <c r="I8" s="53">
        <v>45978</v>
      </c>
      <c r="J8" s="175">
        <v>216</v>
      </c>
      <c r="K8" s="175">
        <v>24</v>
      </c>
      <c r="L8" s="175"/>
      <c r="M8" s="175"/>
      <c r="N8" s="175"/>
      <c r="O8" s="175">
        <v>216</v>
      </c>
      <c r="P8" s="175"/>
      <c r="Q8" s="49" t="s">
        <v>327</v>
      </c>
      <c r="R8" s="49" t="s">
        <v>104</v>
      </c>
      <c r="S8" s="49" t="s">
        <v>328</v>
      </c>
      <c r="T8" s="49" t="s">
        <v>81</v>
      </c>
      <c r="U8" s="48" t="s">
        <v>84</v>
      </c>
      <c r="V8" s="48" t="s">
        <v>105</v>
      </c>
      <c r="W8" s="48" t="s">
        <v>329</v>
      </c>
      <c r="X8" s="305" t="s">
        <v>330</v>
      </c>
      <c r="Y8" s="49" t="s">
        <v>327</v>
      </c>
      <c r="Z8" s="48" t="s">
        <v>331</v>
      </c>
      <c r="AA8" s="176">
        <v>46016</v>
      </c>
      <c r="AB8" s="317">
        <v>46017</v>
      </c>
      <c r="AC8" s="308"/>
      <c r="AD8" s="176">
        <v>46039</v>
      </c>
      <c r="AE8" s="48" t="s">
        <v>332</v>
      </c>
      <c r="AF8" s="159" t="s">
        <v>335</v>
      </c>
    </row>
    <row r="9" s="3" customFormat="1" ht="39" hidden="1" customHeight="1" spans="1:34">
      <c r="A9" s="49">
        <f t="shared" si="0"/>
        <v>6</v>
      </c>
      <c r="B9" s="48" t="s">
        <v>324</v>
      </c>
      <c r="C9" s="48" t="s">
        <v>325</v>
      </c>
      <c r="D9" s="51" t="s">
        <v>326</v>
      </c>
      <c r="E9" s="51"/>
      <c r="F9" s="52">
        <v>45975</v>
      </c>
      <c r="G9" s="52">
        <v>46018</v>
      </c>
      <c r="H9" s="52">
        <v>46018</v>
      </c>
      <c r="I9" s="53">
        <v>45978</v>
      </c>
      <c r="J9" s="175">
        <v>1008</v>
      </c>
      <c r="K9" s="175">
        <v>24</v>
      </c>
      <c r="L9" s="175"/>
      <c r="M9" s="175"/>
      <c r="N9" s="175"/>
      <c r="O9" s="175"/>
      <c r="P9" s="175">
        <v>1008</v>
      </c>
      <c r="Q9" s="49" t="s">
        <v>327</v>
      </c>
      <c r="R9" s="49" t="s">
        <v>104</v>
      </c>
      <c r="S9" s="49" t="s">
        <v>328</v>
      </c>
      <c r="T9" s="49" t="s">
        <v>336</v>
      </c>
      <c r="U9" s="48" t="s">
        <v>337</v>
      </c>
      <c r="V9" s="48" t="s">
        <v>105</v>
      </c>
      <c r="W9" s="48" t="s">
        <v>329</v>
      </c>
      <c r="X9" s="305" t="s">
        <v>330</v>
      </c>
      <c r="Y9" s="49" t="s">
        <v>327</v>
      </c>
      <c r="Z9" s="48" t="s">
        <v>338</v>
      </c>
      <c r="AA9" s="176">
        <v>46016</v>
      </c>
      <c r="AB9" s="317">
        <v>46017</v>
      </c>
      <c r="AC9" s="308"/>
      <c r="AD9" s="176">
        <v>46039</v>
      </c>
      <c r="AE9" s="48" t="s">
        <v>332</v>
      </c>
      <c r="AF9" s="159" t="s">
        <v>339</v>
      </c>
    </row>
    <row r="10" s="3" customFormat="1" ht="27" hidden="1" customHeight="1" spans="1:34">
      <c r="A10" s="49">
        <f t="shared" si="0"/>
        <v>7</v>
      </c>
      <c r="B10" s="48" t="s">
        <v>270</v>
      </c>
      <c r="C10" s="48" t="s">
        <v>271</v>
      </c>
      <c r="D10" s="51" t="s">
        <v>272</v>
      </c>
      <c r="E10" s="51"/>
      <c r="F10" s="52">
        <v>45897</v>
      </c>
      <c r="G10" s="52">
        <v>46006</v>
      </c>
      <c r="H10" s="52">
        <v>46006</v>
      </c>
      <c r="I10" s="53">
        <v>46002</v>
      </c>
      <c r="J10" s="175">
        <v>4000</v>
      </c>
      <c r="K10" s="175">
        <v>8</v>
      </c>
      <c r="L10" s="175"/>
      <c r="M10" s="175"/>
      <c r="N10" s="175">
        <v>4000</v>
      </c>
      <c r="O10" s="175"/>
      <c r="P10" s="175"/>
      <c r="Q10" s="49" t="s">
        <v>340</v>
      </c>
      <c r="R10" s="49" t="s">
        <v>104</v>
      </c>
      <c r="S10" s="49" t="s">
        <v>328</v>
      </c>
      <c r="T10" s="49" t="s">
        <v>81</v>
      </c>
      <c r="U10" s="48" t="s">
        <v>321</v>
      </c>
      <c r="V10" s="48" t="s">
        <v>328</v>
      </c>
      <c r="W10" s="48" t="s">
        <v>328</v>
      </c>
      <c r="X10" s="48" t="s">
        <v>120</v>
      </c>
      <c r="Y10" s="49" t="s">
        <v>340</v>
      </c>
      <c r="Z10" s="48" t="s">
        <v>317</v>
      </c>
      <c r="AA10" s="176">
        <v>46020</v>
      </c>
      <c r="AB10" s="211">
        <v>46020</v>
      </c>
      <c r="AC10" s="176"/>
      <c r="AD10" s="211">
        <v>46099</v>
      </c>
      <c r="AE10" s="211" t="s">
        <v>279</v>
      </c>
      <c r="AF10" s="1220" t="s">
        <v>318</v>
      </c>
      <c r="AG10" s="159"/>
    </row>
    <row r="11" s="3" customFormat="1" ht="29.25" hidden="1" customHeight="1" spans="1:34">
      <c r="A11" s="49">
        <f t="shared" si="0"/>
        <v>8</v>
      </c>
      <c r="B11" s="48" t="s">
        <v>270</v>
      </c>
      <c r="C11" s="48" t="s">
        <v>271</v>
      </c>
      <c r="D11" s="51" t="s">
        <v>272</v>
      </c>
      <c r="E11" s="51"/>
      <c r="F11" s="52">
        <v>45897</v>
      </c>
      <c r="G11" s="52">
        <v>46006</v>
      </c>
      <c r="H11" s="52">
        <v>46006</v>
      </c>
      <c r="I11" s="53">
        <v>46002</v>
      </c>
      <c r="J11" s="175">
        <v>2000</v>
      </c>
      <c r="K11" s="175">
        <v>8</v>
      </c>
      <c r="L11" s="175"/>
      <c r="M11" s="175"/>
      <c r="N11" s="175"/>
      <c r="O11" s="175"/>
      <c r="P11" s="175">
        <v>2000</v>
      </c>
      <c r="Q11" s="49" t="s">
        <v>340</v>
      </c>
      <c r="R11" s="49" t="s">
        <v>104</v>
      </c>
      <c r="S11" s="49" t="s">
        <v>328</v>
      </c>
      <c r="T11" s="49" t="s">
        <v>81</v>
      </c>
      <c r="U11" s="48" t="s">
        <v>321</v>
      </c>
      <c r="V11" s="48" t="s">
        <v>328</v>
      </c>
      <c r="W11" s="48" t="s">
        <v>328</v>
      </c>
      <c r="X11" s="48" t="s">
        <v>120</v>
      </c>
      <c r="Y11" s="49" t="s">
        <v>340</v>
      </c>
      <c r="Z11" s="48" t="s">
        <v>317</v>
      </c>
      <c r="AA11" s="176">
        <v>46020</v>
      </c>
      <c r="AB11" s="211">
        <v>46020</v>
      </c>
      <c r="AC11" s="308"/>
      <c r="AD11" s="211">
        <v>46099</v>
      </c>
      <c r="AE11" s="211" t="s">
        <v>279</v>
      </c>
      <c r="AF11" s="3" t="s">
        <v>323</v>
      </c>
    </row>
    <row r="12" s="3" customFormat="1" ht="81.95" hidden="1" customHeight="1" spans="1:34">
      <c r="A12" s="49">
        <f t="shared" si="0"/>
        <v>9</v>
      </c>
      <c r="B12" s="48" t="s">
        <v>341</v>
      </c>
      <c r="C12" s="48" t="s">
        <v>342</v>
      </c>
      <c r="D12" s="51" t="s">
        <v>343</v>
      </c>
      <c r="E12" s="51"/>
      <c r="F12" s="52">
        <v>45961</v>
      </c>
      <c r="G12" s="52">
        <v>46024</v>
      </c>
      <c r="H12" s="52">
        <v>46024</v>
      </c>
      <c r="I12" s="53">
        <v>45968</v>
      </c>
      <c r="J12" s="175">
        <f>SUM(L12:P12)</f>
        <v>2088</v>
      </c>
      <c r="K12" s="175">
        <v>24</v>
      </c>
      <c r="L12" s="175">
        <f>312+144+96+144+168+96+144+312</f>
        <v>1416</v>
      </c>
      <c r="M12" s="175"/>
      <c r="N12" s="175">
        <f>120+120+144+144+144</f>
        <v>672</v>
      </c>
      <c r="O12" s="175"/>
      <c r="P12" s="175"/>
      <c r="Q12" s="49" t="s">
        <v>327</v>
      </c>
      <c r="R12" s="49" t="s">
        <v>104</v>
      </c>
      <c r="S12" s="49" t="s">
        <v>328</v>
      </c>
      <c r="T12" s="49" t="s">
        <v>81</v>
      </c>
      <c r="U12" s="48" t="s">
        <v>84</v>
      </c>
      <c r="V12" s="48" t="s">
        <v>105</v>
      </c>
      <c r="W12" s="48" t="s">
        <v>329</v>
      </c>
      <c r="X12" s="305" t="s">
        <v>330</v>
      </c>
      <c r="Y12" s="49" t="s">
        <v>327</v>
      </c>
      <c r="Z12" s="48" t="s">
        <v>331</v>
      </c>
      <c r="AA12" s="176">
        <v>46020</v>
      </c>
      <c r="AB12" s="317">
        <v>46020</v>
      </c>
      <c r="AC12" s="308"/>
      <c r="AD12" s="176">
        <v>46041</v>
      </c>
      <c r="AE12" s="48" t="s">
        <v>344</v>
      </c>
      <c r="AF12" s="159" t="s">
        <v>345</v>
      </c>
    </row>
    <row r="13" s="3" customFormat="1" ht="32.1" hidden="1" customHeight="1" spans="1:34">
      <c r="A13" s="49">
        <f t="shared" si="0"/>
        <v>10</v>
      </c>
      <c r="B13" s="48" t="s">
        <v>341</v>
      </c>
      <c r="C13" s="48" t="s">
        <v>342</v>
      </c>
      <c r="D13" s="51" t="s">
        <v>346</v>
      </c>
      <c r="E13" s="51"/>
      <c r="F13" s="52">
        <v>45961</v>
      </c>
      <c r="G13" s="52">
        <v>46024</v>
      </c>
      <c r="H13" s="52">
        <v>46024</v>
      </c>
      <c r="I13" s="53">
        <v>45968</v>
      </c>
      <c r="J13" s="175">
        <f>SUM(L13:P13)</f>
        <v>384</v>
      </c>
      <c r="K13" s="175">
        <v>24</v>
      </c>
      <c r="L13" s="714"/>
      <c r="M13" s="175"/>
      <c r="N13" s="714"/>
      <c r="O13" s="175">
        <f>192+192</f>
        <v>384</v>
      </c>
      <c r="P13" s="175"/>
      <c r="Q13" s="49" t="s">
        <v>327</v>
      </c>
      <c r="R13" s="49" t="s">
        <v>104</v>
      </c>
      <c r="S13" s="49" t="s">
        <v>328</v>
      </c>
      <c r="T13" s="49" t="s">
        <v>81</v>
      </c>
      <c r="U13" s="48" t="s">
        <v>84</v>
      </c>
      <c r="V13" s="48" t="s">
        <v>105</v>
      </c>
      <c r="W13" s="48" t="s">
        <v>329</v>
      </c>
      <c r="X13" s="305" t="s">
        <v>330</v>
      </c>
      <c r="Y13" s="49" t="s">
        <v>327</v>
      </c>
      <c r="Z13" s="48" t="s">
        <v>331</v>
      </c>
      <c r="AA13" s="176">
        <v>46020</v>
      </c>
      <c r="AB13" s="317">
        <v>46020</v>
      </c>
      <c r="AC13" s="308"/>
      <c r="AD13" s="176">
        <v>46041</v>
      </c>
      <c r="AE13" s="48" t="s">
        <v>347</v>
      </c>
      <c r="AF13" s="159" t="s">
        <v>335</v>
      </c>
    </row>
    <row r="14" s="3" customFormat="1" ht="39" hidden="1" customHeight="1" spans="1:34">
      <c r="A14" s="49"/>
      <c r="B14" s="48" t="s">
        <v>341</v>
      </c>
      <c r="C14" s="48" t="s">
        <v>342</v>
      </c>
      <c r="D14" s="51" t="s">
        <v>348</v>
      </c>
      <c r="E14" s="51" t="s">
        <v>349</v>
      </c>
      <c r="F14" s="52">
        <v>45961</v>
      </c>
      <c r="G14" s="52">
        <v>46080</v>
      </c>
      <c r="H14" s="52">
        <v>46080</v>
      </c>
      <c r="I14" s="53">
        <v>46021</v>
      </c>
      <c r="J14" s="175">
        <f>SUM(L14:P14)</f>
        <v>912</v>
      </c>
      <c r="K14" s="175">
        <v>24</v>
      </c>
      <c r="L14" s="175">
        <f>96+120+96+216</f>
        <v>528</v>
      </c>
      <c r="M14" s="175"/>
      <c r="N14" s="175">
        <f>144+96</f>
        <v>240</v>
      </c>
      <c r="O14" s="175">
        <v>144</v>
      </c>
      <c r="P14" s="175"/>
      <c r="Q14" s="49" t="s">
        <v>327</v>
      </c>
      <c r="R14" s="49" t="s">
        <v>104</v>
      </c>
      <c r="S14" s="49" t="s">
        <v>328</v>
      </c>
      <c r="T14" s="49" t="s">
        <v>81</v>
      </c>
      <c r="U14" s="48" t="s">
        <v>84</v>
      </c>
      <c r="V14" s="48" t="s">
        <v>105</v>
      </c>
      <c r="W14" s="48" t="s">
        <v>329</v>
      </c>
      <c r="X14" s="305" t="s">
        <v>350</v>
      </c>
      <c r="Y14" s="49" t="s">
        <v>327</v>
      </c>
      <c r="Z14" s="48" t="s">
        <v>331</v>
      </c>
      <c r="AA14" s="176">
        <v>46078</v>
      </c>
      <c r="AB14" s="211">
        <v>46086</v>
      </c>
      <c r="AC14" s="308"/>
      <c r="AD14" s="176">
        <v>46090</v>
      </c>
      <c r="AE14" s="48" t="s">
        <v>351</v>
      </c>
      <c r="AF14" s="159" t="s">
        <v>352</v>
      </c>
    </row>
    <row r="15" s="3" customFormat="1" ht="27" customHeight="1" spans="1:34">
      <c r="A15" s="96"/>
      <c r="B15" s="183"/>
      <c r="C15" s="96"/>
      <c r="D15" s="216"/>
      <c r="E15" s="216"/>
      <c r="F15" s="217"/>
      <c r="G15" s="217"/>
      <c r="H15" s="217"/>
      <c r="I15" s="218"/>
      <c r="J15" s="95"/>
      <c r="K15" s="95"/>
      <c r="L15" s="277"/>
      <c r="M15" s="277"/>
      <c r="N15" s="277"/>
      <c r="O15" s="277"/>
      <c r="P15" s="277"/>
      <c r="Q15" s="219"/>
      <c r="R15" s="219"/>
      <c r="S15" s="219"/>
      <c r="T15" s="96"/>
      <c r="U15" s="279"/>
      <c r="V15" s="279"/>
      <c r="W15" s="279"/>
      <c r="X15" s="183"/>
      <c r="Y15" s="183"/>
      <c r="Z15" s="183"/>
      <c r="AA15" s="97"/>
      <c r="AB15" s="222"/>
      <c r="AC15" s="97"/>
      <c r="AD15" s="97"/>
      <c r="AE15" s="183"/>
    </row>
    <row r="16" s="3" customFormat="1" ht="17.1" customHeight="1" spans="1:34">
      <c r="A16" s="94" t="s">
        <v>66</v>
      </c>
      <c r="B16" s="94"/>
      <c r="C16" s="94"/>
      <c r="D16" s="94"/>
      <c r="E16" s="94"/>
      <c r="F16" s="94"/>
      <c r="G16" s="94"/>
      <c r="H16" s="94"/>
      <c r="I16" s="94"/>
      <c r="J16" s="95">
        <f>SUM(J4:J15)</f>
        <v>23688</v>
      </c>
      <c r="K16" s="95"/>
      <c r="L16" s="95">
        <f>SUM(L4:L15)</f>
        <v>1992</v>
      </c>
      <c r="M16" s="95">
        <f>SUM(M4:M15)</f>
        <v>2016</v>
      </c>
      <c r="N16" s="95">
        <f>SUM(N4:N15)</f>
        <v>12928</v>
      </c>
      <c r="O16" s="95">
        <f>SUM(O4:O15)</f>
        <v>744</v>
      </c>
      <c r="P16" s="95">
        <f>SUM(P4:P15)</f>
        <v>6008</v>
      </c>
      <c r="Q16" s="95"/>
      <c r="R16" s="95"/>
      <c r="S16" s="95"/>
      <c r="T16" s="96"/>
      <c r="U16" s="96"/>
      <c r="V16" s="96"/>
      <c r="W16" s="96"/>
      <c r="X16" s="96"/>
      <c r="Y16" s="96"/>
      <c r="Z16" s="96"/>
      <c r="AA16" s="97"/>
      <c r="AB16" s="97"/>
      <c r="AC16" s="97"/>
      <c r="AD16" s="97"/>
      <c r="AE16" s="96"/>
    </row>
    <row r="17" s="4" customFormat="1" ht="17.1" customHeight="1" spans="1:31">
      <c r="A17" s="100"/>
      <c r="B17" s="100"/>
      <c r="C17" s="100"/>
      <c r="D17" s="100"/>
      <c r="E17" s="100"/>
      <c r="F17" s="100"/>
      <c r="G17" s="100"/>
      <c r="H17" s="100"/>
      <c r="I17" s="100"/>
      <c r="J17" s="133">
        <f>SUBTOTAL(9,L17:P17)</f>
        <v>23688</v>
      </c>
      <c r="K17" s="100"/>
      <c r="L17" s="100">
        <f>1992</f>
        <v>1992</v>
      </c>
      <c r="M17" s="100">
        <f>2016</f>
        <v>2016</v>
      </c>
      <c r="N17" s="100">
        <f>12928</f>
        <v>12928</v>
      </c>
      <c r="O17" s="100">
        <f>744</f>
        <v>744</v>
      </c>
      <c r="P17" s="100">
        <f>6008</f>
        <v>6008</v>
      </c>
      <c r="Q17" s="147"/>
      <c r="R17" s="147"/>
      <c r="S17" s="147"/>
      <c r="T17" s="100"/>
      <c r="U17" s="100"/>
      <c r="V17" s="100"/>
      <c r="W17" s="100"/>
      <c r="X17" s="100"/>
      <c r="Y17" s="100"/>
      <c r="Z17" s="100"/>
      <c r="AA17" s="101"/>
      <c r="AB17" s="101"/>
      <c r="AC17" s="100"/>
      <c r="AD17" s="100"/>
      <c r="AE17" s="100"/>
    </row>
    <row r="18" s="4" customFormat="1" ht="19.5" customHeight="1" spans="1:31">
      <c r="A18" s="149" t="s">
        <v>67</v>
      </c>
      <c r="B18" s="149"/>
      <c r="C18" s="149"/>
      <c r="D18" s="149"/>
      <c r="E18" s="149"/>
      <c r="F18" s="149"/>
      <c r="G18" s="149"/>
      <c r="H18" s="149"/>
      <c r="I18" s="149"/>
      <c r="J18" s="1028">
        <f>J17-J16</f>
        <v>0</v>
      </c>
      <c r="K18" s="368"/>
      <c r="L18" s="1221">
        <f>L17-L16</f>
        <v>0</v>
      </c>
      <c r="M18" s="1221">
        <f>M17-M16</f>
        <v>0</v>
      </c>
      <c r="N18" s="1221">
        <f>N17-N16</f>
        <v>0</v>
      </c>
      <c r="O18" s="1221">
        <f>O17-O16</f>
        <v>0</v>
      </c>
      <c r="P18" s="1221">
        <f>P17-P16</f>
        <v>0</v>
      </c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01"/>
      <c r="AB18" s="101"/>
      <c r="AC18" s="100"/>
      <c r="AD18" s="100"/>
      <c r="AE18" s="100"/>
    </row>
    <row r="19" spans="1:31">
      <c r="B19" s="110" t="s">
        <v>353</v>
      </c>
      <c r="C19" s="110"/>
      <c r="D19" s="111"/>
      <c r="E19" s="111"/>
      <c r="F19" s="111"/>
      <c r="G19" s="111"/>
      <c r="H19" s="111"/>
      <c r="I19" s="111"/>
      <c r="L19" s="1222"/>
      <c r="M19" s="1222"/>
      <c r="N19" s="1223"/>
      <c r="O19" s="1222"/>
      <c r="P19" s="1222"/>
    </row>
  </sheetData>
  <autoFilter xmlns:etc="http://www.wps.cn/officeDocument/2017/etCustomData" ref="A2:AH14" etc:filterBottomFollowUsedRange="0">
    <filterColumn colId="29">
      <customFilters>
        <customFilter operator="equal" val="是否出货"/>
      </customFilters>
    </filterColumn>
    <extLst/>
  </autoFilter>
  <mergeCells count="31">
    <mergeCell ref="A1:Z1"/>
    <mergeCell ref="AA1:AC1"/>
    <mergeCell ref="AD1:AE1"/>
    <mergeCell ref="L2:P2"/>
    <mergeCell ref="Q2:S2"/>
    <mergeCell ref="A16:I16"/>
    <mergeCell ref="A17:I17"/>
    <mergeCell ref="A18:I1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</mergeCells>
  <conditionalFormatting sqref="Q18:Z18">
    <cfRule type="cellIs" dxfId="0" priority="1" operator="lessThan">
      <formula>0</formula>
    </cfRule>
  </conditionalFormatting>
  <printOptions horizontalCentered="1"/>
  <pageMargins left="0.118110236220472" right="0.118110236220472" top="0.354330708661417" bottom="0.354330708661417" header="0.31496062992126" footer="0.31496062992126"/>
  <pageSetup paperSize="9" scale="58" orientation="landscape"/>
  <headerFooter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AB11"/>
  <sheetViews>
    <sheetView workbookViewId="0">
      <pane xSplit="4" ySplit="3" topLeftCell="U4" activePane="bottomRight" state="frozen"/>
      <selection/>
      <selection pane="topRight"/>
      <selection pane="bottomLeft"/>
      <selection pane="bottomRight" activeCell="Z15" sqref="Z15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5" width="12.125" customWidth="1"/>
    <col min="6" max="9" width="5.625" customWidth="1"/>
    <col min="10" max="10" width="7.125" customWidth="1"/>
    <col min="11" max="11" width="4.625" customWidth="1"/>
    <col min="12" max="14" width="8" customWidth="1"/>
    <col min="15" max="15" width="5.625" customWidth="1"/>
    <col min="16" max="17" width="5.375" customWidth="1"/>
    <col min="18" max="19" width="5.125" customWidth="1"/>
    <col min="20" max="20" width="6.125" customWidth="1"/>
    <col min="21" max="21" width="8.875" customWidth="1"/>
    <col min="22" max="22" width="19.375" customWidth="1"/>
    <col min="23" max="23" width="8.875" style="114" customWidth="1"/>
    <col min="24" max="24" width="9.125" style="113" customWidth="1"/>
    <col min="25" max="25" width="6.375" style="193" customWidth="1"/>
    <col min="26" max="26" width="8.25" style="193" customWidth="1"/>
    <col min="27" max="27" width="19.125" customWidth="1"/>
    <col min="28" max="28" width="17.625" customWidth="1"/>
  </cols>
  <sheetData>
    <row r="1" ht="36.75" customHeight="1" spans="1:28">
      <c r="A1" s="195" t="s">
        <v>354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7" t="s">
        <v>1</v>
      </c>
      <c r="X1" s="198"/>
      <c r="Y1" s="199"/>
      <c r="Z1" s="200">
        <f ca="1">TODAY()</f>
        <v>46277</v>
      </c>
      <c r="AA1" s="201"/>
    </row>
    <row r="2" s="190" customFormat="1" ht="27" customHeight="1" spans="1:28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983" t="s">
        <v>13</v>
      </c>
      <c r="M2" s="985"/>
      <c r="N2" s="1030" t="s">
        <v>70</v>
      </c>
      <c r="O2" s="1031"/>
      <c r="P2" s="1032"/>
      <c r="Q2" s="21" t="s">
        <v>177</v>
      </c>
      <c r="R2" s="21" t="s">
        <v>71</v>
      </c>
      <c r="S2" s="22" t="s">
        <v>72</v>
      </c>
      <c r="T2" s="21" t="s">
        <v>19</v>
      </c>
      <c r="U2" s="22" t="s">
        <v>20</v>
      </c>
      <c r="V2" s="24" t="s">
        <v>21</v>
      </c>
      <c r="W2" s="1207" t="s">
        <v>22</v>
      </c>
      <c r="X2" s="26" t="s">
        <v>23</v>
      </c>
      <c r="Y2" s="204" t="s">
        <v>24</v>
      </c>
      <c r="Z2" s="204" t="s">
        <v>25</v>
      </c>
      <c r="AA2" s="27" t="s">
        <v>26</v>
      </c>
    </row>
    <row r="3" s="190" customFormat="1" ht="27" customHeight="1" spans="1:28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740" t="s">
        <v>355</v>
      </c>
      <c r="M3" s="740" t="s">
        <v>356</v>
      </c>
      <c r="N3" s="1033" t="s">
        <v>73</v>
      </c>
      <c r="O3" s="1033" t="s">
        <v>74</v>
      </c>
      <c r="P3" s="1033" t="s">
        <v>75</v>
      </c>
      <c r="Q3" s="21"/>
      <c r="R3" s="21"/>
      <c r="S3" s="32"/>
      <c r="T3" s="21"/>
      <c r="U3" s="32"/>
      <c r="V3" s="24"/>
      <c r="W3" s="1207"/>
      <c r="X3" s="26"/>
      <c r="Y3" s="204"/>
      <c r="Z3" s="204"/>
      <c r="AA3" s="27"/>
    </row>
    <row r="4" s="3" customFormat="1" ht="29.25" customHeight="1" spans="1:28">
      <c r="A4" s="215">
        <v>1</v>
      </c>
      <c r="B4" s="183"/>
      <c r="C4" s="96"/>
      <c r="D4" s="293" t="s">
        <v>357</v>
      </c>
      <c r="E4" s="293"/>
      <c r="F4" s="217"/>
      <c r="G4" s="217"/>
      <c r="H4" s="217"/>
      <c r="I4" s="218"/>
      <c r="J4" s="95">
        <v>6000</v>
      </c>
      <c r="K4" s="95"/>
      <c r="L4" s="277">
        <v>3000</v>
      </c>
      <c r="M4" s="277">
        <v>3000</v>
      </c>
      <c r="N4" s="219"/>
      <c r="O4" s="219"/>
      <c r="P4" s="1208"/>
      <c r="Q4" s="1209"/>
      <c r="R4" s="1210"/>
      <c r="S4" s="782" t="s">
        <v>358</v>
      </c>
      <c r="T4" s="1211"/>
      <c r="U4" s="1209"/>
      <c r="V4" s="1210"/>
      <c r="W4" s="1212"/>
      <c r="X4" s="1213"/>
      <c r="Y4" s="1214"/>
      <c r="Z4" s="1215"/>
      <c r="AA4" s="1216"/>
    </row>
    <row r="5" s="3" customFormat="1" ht="32.25" customHeight="1" spans="1:28">
      <c r="A5" s="208">
        <v>2</v>
      </c>
      <c r="B5" s="48" t="s">
        <v>359</v>
      </c>
      <c r="C5" s="49" t="s">
        <v>360</v>
      </c>
      <c r="D5" s="51" t="s">
        <v>361</v>
      </c>
      <c r="E5" s="51" t="s">
        <v>362</v>
      </c>
      <c r="F5" s="52">
        <v>45993</v>
      </c>
      <c r="G5" s="52">
        <v>46059</v>
      </c>
      <c r="H5" s="52">
        <v>46059</v>
      </c>
      <c r="I5" s="53">
        <v>45993</v>
      </c>
      <c r="J5" s="175">
        <v>1500</v>
      </c>
      <c r="K5" s="175">
        <v>6</v>
      </c>
      <c r="L5" s="175">
        <f>$J5/$K5*3</f>
        <v>750</v>
      </c>
      <c r="M5" s="175">
        <f>$J5/$K5*3</f>
        <v>750</v>
      </c>
      <c r="N5" s="49" t="s">
        <v>363</v>
      </c>
      <c r="O5" s="49" t="s">
        <v>104</v>
      </c>
      <c r="P5" s="305" t="s">
        <v>364</v>
      </c>
      <c r="Q5" s="210" t="s">
        <v>104</v>
      </c>
      <c r="R5" s="48" t="s">
        <v>365</v>
      </c>
      <c r="S5" s="48" t="s">
        <v>366</v>
      </c>
      <c r="T5" s="305" t="s">
        <v>365</v>
      </c>
      <c r="U5" s="49" t="s">
        <v>363</v>
      </c>
      <c r="V5" s="48" t="s">
        <v>367</v>
      </c>
      <c r="W5" s="212">
        <v>46057</v>
      </c>
      <c r="X5" s="211">
        <v>46057</v>
      </c>
      <c r="Y5" s="308"/>
      <c r="Z5" s="176">
        <v>46059</v>
      </c>
      <c r="AA5" s="177" t="s">
        <v>368</v>
      </c>
      <c r="AB5" s="3" t="s">
        <v>369</v>
      </c>
    </row>
    <row r="6" s="3" customFormat="1" ht="32.25" customHeight="1" spans="1:28">
      <c r="A6" s="208">
        <v>3</v>
      </c>
      <c r="B6" s="48" t="s">
        <v>370</v>
      </c>
      <c r="C6" s="48" t="s">
        <v>114</v>
      </c>
      <c r="D6" s="51" t="s">
        <v>371</v>
      </c>
      <c r="E6" s="51" t="s">
        <v>372</v>
      </c>
      <c r="F6" s="52">
        <v>46178</v>
      </c>
      <c r="G6" s="52">
        <v>46261</v>
      </c>
      <c r="H6" s="52">
        <v>46261</v>
      </c>
      <c r="I6" s="53">
        <v>46213</v>
      </c>
      <c r="J6" s="175">
        <v>300</v>
      </c>
      <c r="K6" s="175">
        <v>6</v>
      </c>
      <c r="L6" s="175">
        <v>150</v>
      </c>
      <c r="M6" s="175">
        <v>150</v>
      </c>
      <c r="N6" s="49" t="s">
        <v>373</v>
      </c>
      <c r="O6" s="49" t="s">
        <v>104</v>
      </c>
      <c r="P6" s="305" t="s">
        <v>374</v>
      </c>
      <c r="Q6" s="210" t="s">
        <v>104</v>
      </c>
      <c r="R6" s="48" t="s">
        <v>375</v>
      </c>
      <c r="S6" s="48" t="s">
        <v>374</v>
      </c>
      <c r="T6" s="305" t="s">
        <v>375</v>
      </c>
      <c r="U6" s="49" t="s">
        <v>373</v>
      </c>
      <c r="V6" s="48" t="s">
        <v>367</v>
      </c>
      <c r="W6" s="992">
        <v>46261</v>
      </c>
      <c r="X6" s="211">
        <v>46267</v>
      </c>
      <c r="Y6" s="308"/>
      <c r="Z6" s="176">
        <v>46275</v>
      </c>
      <c r="AA6" s="177" t="s">
        <v>376</v>
      </c>
      <c r="AB6" s="3" t="s">
        <v>369</v>
      </c>
    </row>
    <row r="7" s="3" customFormat="1" ht="32.25" customHeight="1" spans="1:28">
      <c r="A7" s="215">
        <v>4</v>
      </c>
      <c r="B7" s="183"/>
      <c r="C7" s="96"/>
      <c r="D7" s="216"/>
      <c r="E7" s="216"/>
      <c r="F7" s="217"/>
      <c r="G7" s="217"/>
      <c r="H7" s="217"/>
      <c r="I7" s="218"/>
      <c r="J7" s="95"/>
      <c r="K7" s="95"/>
      <c r="L7" s="277"/>
      <c r="M7" s="277"/>
      <c r="N7" s="219"/>
      <c r="O7" s="219"/>
      <c r="P7" s="219"/>
      <c r="Q7" s="96"/>
      <c r="R7" s="279"/>
      <c r="S7" s="279"/>
      <c r="T7" s="183"/>
      <c r="U7" s="183"/>
      <c r="V7" s="183"/>
      <c r="W7" s="280"/>
      <c r="X7" s="222"/>
      <c r="Y7" s="97"/>
      <c r="Z7" s="97"/>
      <c r="AA7" s="178"/>
    </row>
    <row r="8" s="3" customFormat="1" ht="17.1" customHeight="1" spans="1:28">
      <c r="A8" s="93" t="s">
        <v>66</v>
      </c>
      <c r="B8" s="94"/>
      <c r="C8" s="94"/>
      <c r="D8" s="94"/>
      <c r="E8" s="94"/>
      <c r="F8" s="94"/>
      <c r="G8" s="94"/>
      <c r="H8" s="94"/>
      <c r="I8" s="94"/>
      <c r="J8" s="95">
        <f>SUM(J5:J7)</f>
        <v>1800</v>
      </c>
      <c r="K8" s="95"/>
      <c r="L8" s="95">
        <f>SUM(L5:L7)</f>
        <v>900</v>
      </c>
      <c r="M8" s="95">
        <f>SUM(M5:M7)</f>
        <v>900</v>
      </c>
      <c r="N8" s="95"/>
      <c r="O8" s="95"/>
      <c r="P8" s="95"/>
      <c r="Q8" s="96"/>
      <c r="R8" s="96"/>
      <c r="S8" s="96"/>
      <c r="T8" s="96"/>
      <c r="U8" s="96"/>
      <c r="V8" s="96"/>
      <c r="W8" s="97"/>
      <c r="X8" s="97"/>
      <c r="Y8" s="97"/>
      <c r="Z8" s="97"/>
      <c r="AA8" s="98"/>
    </row>
    <row r="9" s="4" customFormat="1" ht="17.1" customHeight="1" spans="1:28">
      <c r="A9" s="99"/>
      <c r="B9" s="100"/>
      <c r="C9" s="100"/>
      <c r="D9" s="100"/>
      <c r="E9" s="100"/>
      <c r="F9" s="100"/>
      <c r="G9" s="100"/>
      <c r="H9" s="100"/>
      <c r="I9" s="100"/>
      <c r="J9" s="100">
        <f>SUBTOTAL(9,L9:M9)</f>
        <v>3000</v>
      </c>
      <c r="K9" s="100"/>
      <c r="L9" s="134">
        <f>1500</f>
        <v>1500</v>
      </c>
      <c r="M9" s="134">
        <f>1500</f>
        <v>1500</v>
      </c>
      <c r="N9" s="147"/>
      <c r="O9" s="147"/>
      <c r="P9" s="147"/>
      <c r="Q9" s="100"/>
      <c r="R9" s="100"/>
      <c r="S9" s="100"/>
      <c r="T9" s="100"/>
      <c r="U9" s="100"/>
      <c r="V9" s="100"/>
      <c r="W9" s="101"/>
      <c r="X9" s="101"/>
      <c r="Y9" s="100"/>
      <c r="Z9" s="100"/>
      <c r="AA9" s="102"/>
    </row>
    <row r="10" s="4" customFormat="1" ht="19.5" customHeight="1" spans="1:28">
      <c r="A10" s="241" t="s">
        <v>67</v>
      </c>
      <c r="B10" s="242"/>
      <c r="C10" s="242"/>
      <c r="D10" s="242"/>
      <c r="E10" s="242"/>
      <c r="F10" s="242"/>
      <c r="G10" s="242"/>
      <c r="H10" s="242"/>
      <c r="I10" s="243"/>
      <c r="J10" s="105">
        <f>J9-J8</f>
        <v>1200</v>
      </c>
      <c r="K10" s="104"/>
      <c r="L10" s="105">
        <f>L9-L8</f>
        <v>600</v>
      </c>
      <c r="M10" s="105">
        <f>M9-M8</f>
        <v>600</v>
      </c>
      <c r="N10" s="106"/>
      <c r="O10" s="106"/>
      <c r="P10" s="106"/>
      <c r="Q10" s="106"/>
      <c r="R10" s="106"/>
      <c r="S10" s="106"/>
      <c r="T10" s="106"/>
      <c r="U10" s="106"/>
      <c r="V10" s="106"/>
      <c r="W10" s="108"/>
      <c r="X10" s="108"/>
      <c r="Y10" s="107"/>
      <c r="Z10" s="107"/>
      <c r="AA10" s="109"/>
    </row>
    <row r="11" spans="1:28">
      <c r="B11" s="110" t="s">
        <v>68</v>
      </c>
      <c r="C11" s="110"/>
      <c r="D11" s="1217"/>
      <c r="E11" s="1217"/>
      <c r="F11" s="111"/>
      <c r="G11" s="1218" t="s">
        <v>377</v>
      </c>
      <c r="H11" s="1218"/>
      <c r="I11" s="1218"/>
      <c r="J11" s="193">
        <f>J9-J8</f>
        <v>1200</v>
      </c>
      <c r="K11" s="193"/>
      <c r="L11" s="1219">
        <f>L4-1500-L5-L6</f>
        <v>600</v>
      </c>
      <c r="M11" s="1219">
        <f>M4-1500-M5-M6</f>
        <v>600</v>
      </c>
    </row>
  </sheetData>
  <autoFilter xmlns:etc="http://www.wps.cn/officeDocument/2017/etCustomData" ref="A3:AA11" etc:filterBottomFollowUsedRange="0">
    <extLst/>
  </autoFilter>
  <mergeCells count="31">
    <mergeCell ref="A1:V1"/>
    <mergeCell ref="W1:Y1"/>
    <mergeCell ref="Z1:AA1"/>
    <mergeCell ref="L2:M2"/>
    <mergeCell ref="N2:P2"/>
    <mergeCell ref="A8:I8"/>
    <mergeCell ref="A9:I9"/>
    <mergeCell ref="A10:I10"/>
    <mergeCell ref="G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</mergeCells>
  <conditionalFormatting sqref="N10:V10">
    <cfRule type="cellIs" dxfId="0" priority="1" operator="lessThan">
      <formula>0</formula>
    </cfRule>
  </conditionalFormatting>
  <printOptions horizontalCentered="1"/>
  <pageMargins left="0.314583333333333" right="0.314583333333333" top="0.550694444444444" bottom="0.550694444444444" header="0.314583333333333" footer="0.314583333333333"/>
  <pageSetup paperSize="9" scale="62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B105"/>
  <sheetViews>
    <sheetView workbookViewId="0">
      <pane xSplit="11" ySplit="3" topLeftCell="L84" activePane="bottomRight" state="frozen"/>
      <selection/>
      <selection pane="topRight"/>
      <selection pane="bottomLeft"/>
      <selection pane="bottomRight" activeCell="T97" sqref="T97"/>
    </sheetView>
  </sheetViews>
  <sheetFormatPr defaultColWidth="9" defaultRowHeight="14.25"/>
  <cols>
    <col min="1" max="1" width="3.125" customWidth="1"/>
    <col min="2" max="2" width="8.125" customWidth="1"/>
    <col min="3" max="3" width="7.125" customWidth="1"/>
    <col min="4" max="4" width="12.75" style="192" customWidth="1"/>
    <col min="5" max="5" width="10" style="192" customWidth="1"/>
    <col min="6" max="9" width="6.125" customWidth="1"/>
    <col min="10" max="10" width="8.5" style="192" customWidth="1"/>
    <col min="11" max="11" width="4.625" customWidth="1"/>
    <col min="12" max="12" width="8" customWidth="1"/>
    <col min="13" max="13" width="4.375" customWidth="1"/>
    <col min="14" max="14" width="5.375" customWidth="1"/>
    <col min="15" max="15" width="5.875" customWidth="1"/>
    <col min="16" max="16" width="6.375" customWidth="1"/>
    <col min="17" max="17" width="5.125" customWidth="1"/>
    <col min="18" max="18" width="6.125" customWidth="1"/>
    <col min="19" max="19" width="8.875" customWidth="1"/>
    <col min="20" max="20" width="23.125" customWidth="1"/>
    <col min="21" max="21" width="9.5" style="114" customWidth="1"/>
    <col min="22" max="22" width="8.75" style="113" customWidth="1"/>
    <col min="23" max="23" width="7" style="193" customWidth="1"/>
    <col min="24" max="24" width="7.625" style="193" customWidth="1"/>
    <col min="25" max="25" width="19.125" customWidth="1"/>
    <col min="26" max="26" width="19" style="193" customWidth="1"/>
    <col min="27" max="27" width="5.625" style="193" customWidth="1"/>
    <col min="28" max="28" width="11.375" style="193" customWidth="1"/>
  </cols>
  <sheetData>
    <row r="1" ht="36.75" customHeight="1" spans="1:28">
      <c r="A1" s="1146" t="s">
        <v>378</v>
      </c>
      <c r="B1" s="1146"/>
      <c r="C1" s="1146"/>
      <c r="D1" s="1146"/>
      <c r="E1" s="1146"/>
      <c r="F1" s="1146"/>
      <c r="G1" s="1146"/>
      <c r="H1" s="1146"/>
      <c r="I1" s="1146"/>
      <c r="J1" s="1146"/>
      <c r="K1" s="1146"/>
      <c r="L1" s="1146"/>
      <c r="M1" s="1146"/>
      <c r="N1" s="1146"/>
      <c r="O1" s="1146"/>
      <c r="P1" s="1146"/>
      <c r="Q1" s="1146"/>
      <c r="R1" s="1146"/>
      <c r="S1" s="1146"/>
      <c r="T1" s="1146"/>
      <c r="U1" s="330" t="s">
        <v>1</v>
      </c>
      <c r="V1" s="330"/>
      <c r="W1" s="330"/>
      <c r="X1" s="331">
        <f ca="1">TODAY()</f>
        <v>46277</v>
      </c>
      <c r="Y1" s="841"/>
    </row>
    <row r="2" s="190" customFormat="1" ht="21.95" customHeight="1" spans="1:28">
      <c r="A2" s="15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9" t="s">
        <v>70</v>
      </c>
      <c r="M2" s="19"/>
      <c r="N2" s="19"/>
      <c r="O2" s="473" t="s">
        <v>379</v>
      </c>
      <c r="P2" s="473" t="s">
        <v>380</v>
      </c>
      <c r="Q2" s="21" t="s">
        <v>18</v>
      </c>
      <c r="R2" s="21" t="s">
        <v>19</v>
      </c>
      <c r="S2" s="21" t="s">
        <v>20</v>
      </c>
      <c r="T2" s="24" t="s">
        <v>21</v>
      </c>
      <c r="U2" s="25" t="s">
        <v>22</v>
      </c>
      <c r="V2" s="26" t="s">
        <v>23</v>
      </c>
      <c r="W2" s="204" t="s">
        <v>24</v>
      </c>
      <c r="X2" s="204" t="s">
        <v>25</v>
      </c>
      <c r="Y2" s="15" t="s">
        <v>26</v>
      </c>
      <c r="Z2" s="206"/>
      <c r="AA2" s="206"/>
      <c r="AB2" s="206"/>
    </row>
    <row r="3" s="190" customFormat="1" ht="24.95" customHeight="1" spans="1:28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033" t="s">
        <v>73</v>
      </c>
      <c r="M3" s="1033" t="s">
        <v>74</v>
      </c>
      <c r="N3" s="1033" t="s">
        <v>75</v>
      </c>
      <c r="O3" s="473"/>
      <c r="P3" s="473"/>
      <c r="Q3" s="21"/>
      <c r="R3" s="21"/>
      <c r="S3" s="21"/>
      <c r="T3" s="24"/>
      <c r="U3" s="25"/>
      <c r="V3" s="26"/>
      <c r="W3" s="204"/>
      <c r="X3" s="204"/>
      <c r="Y3" s="15"/>
      <c r="Z3" s="206" t="s">
        <v>65</v>
      </c>
      <c r="AA3" s="206" t="s">
        <v>381</v>
      </c>
      <c r="AB3" s="206" t="s">
        <v>382</v>
      </c>
    </row>
    <row r="4" s="3" customFormat="1" ht="45" hidden="1" customHeight="1" spans="1:28">
      <c r="A4" s="49">
        <f>ROW()-3</f>
        <v>1</v>
      </c>
      <c r="B4" s="48" t="s">
        <v>383</v>
      </c>
      <c r="C4" s="49" t="s">
        <v>384</v>
      </c>
      <c r="D4" s="51" t="s">
        <v>385</v>
      </c>
      <c r="E4" s="51"/>
      <c r="F4" s="52">
        <v>45754</v>
      </c>
      <c r="G4" s="52">
        <v>45803</v>
      </c>
      <c r="H4" s="52">
        <v>45828</v>
      </c>
      <c r="I4" s="53">
        <v>45786</v>
      </c>
      <c r="J4" s="175">
        <v>100</v>
      </c>
      <c r="K4" s="175">
        <v>4</v>
      </c>
      <c r="L4" s="49" t="s">
        <v>386</v>
      </c>
      <c r="M4" s="49" t="s">
        <v>81</v>
      </c>
      <c r="N4" s="700" t="s">
        <v>387</v>
      </c>
      <c r="O4" s="49" t="s">
        <v>81</v>
      </c>
      <c r="P4" s="211" t="s">
        <v>388</v>
      </c>
      <c r="Q4" s="305" t="s">
        <v>389</v>
      </c>
      <c r="R4" s="211" t="s">
        <v>390</v>
      </c>
      <c r="S4" s="305" t="s">
        <v>386</v>
      </c>
      <c r="T4" s="48" t="s">
        <v>391</v>
      </c>
      <c r="U4" s="992">
        <v>45973</v>
      </c>
      <c r="V4" s="211">
        <v>45972</v>
      </c>
      <c r="W4" s="308"/>
      <c r="X4" s="176">
        <v>46207</v>
      </c>
      <c r="Y4" s="48" t="s">
        <v>392</v>
      </c>
      <c r="Z4" s="3" t="s">
        <v>393</v>
      </c>
      <c r="AB4" s="3">
        <v>25001</v>
      </c>
    </row>
    <row r="5" s="3" customFormat="1" ht="33.75" hidden="1" customHeight="1" spans="1:28">
      <c r="A5" s="49">
        <f t="shared" ref="A5:A22" si="0">ROW()-3</f>
        <v>2</v>
      </c>
      <c r="B5" s="48" t="s">
        <v>394</v>
      </c>
      <c r="C5" s="49" t="s">
        <v>342</v>
      </c>
      <c r="D5" s="51" t="s">
        <v>395</v>
      </c>
      <c r="E5" s="51"/>
      <c r="F5" s="52">
        <v>45954</v>
      </c>
      <c r="G5" s="52">
        <v>46024</v>
      </c>
      <c r="H5" s="52">
        <v>46024</v>
      </c>
      <c r="I5" s="53">
        <v>45968</v>
      </c>
      <c r="J5" s="175">
        <f>236+252</f>
        <v>488</v>
      </c>
      <c r="K5" s="175">
        <v>4</v>
      </c>
      <c r="L5" s="49" t="s">
        <v>396</v>
      </c>
      <c r="M5" s="49" t="s">
        <v>81</v>
      </c>
      <c r="N5" s="700" t="s">
        <v>387</v>
      </c>
      <c r="O5" s="49" t="s">
        <v>81</v>
      </c>
      <c r="P5" s="211" t="s">
        <v>397</v>
      </c>
      <c r="Q5" s="305" t="s">
        <v>389</v>
      </c>
      <c r="R5" s="305" t="s">
        <v>398</v>
      </c>
      <c r="S5" s="305" t="s">
        <v>396</v>
      </c>
      <c r="T5" s="48" t="s">
        <v>399</v>
      </c>
      <c r="U5" s="992">
        <v>46020</v>
      </c>
      <c r="V5" s="211">
        <v>46020</v>
      </c>
      <c r="W5" s="211"/>
      <c r="X5" s="176">
        <v>46041</v>
      </c>
      <c r="Y5" s="48" t="s">
        <v>400</v>
      </c>
      <c r="Z5" s="159" t="s">
        <v>393</v>
      </c>
      <c r="AA5" s="1195"/>
      <c r="AB5" s="1195"/>
    </row>
    <row r="6" s="3" customFormat="1" ht="33.75" hidden="1" customHeight="1" spans="1:28">
      <c r="A6" s="49">
        <f t="shared" si="0"/>
        <v>3</v>
      </c>
      <c r="B6" s="48" t="s">
        <v>191</v>
      </c>
      <c r="C6" s="49" t="s">
        <v>192</v>
      </c>
      <c r="D6" s="51" t="s">
        <v>401</v>
      </c>
      <c r="E6" s="51"/>
      <c r="F6" s="52">
        <v>45966</v>
      </c>
      <c r="G6" s="52">
        <v>46029</v>
      </c>
      <c r="H6" s="52">
        <v>46029</v>
      </c>
      <c r="I6" s="53">
        <v>45971</v>
      </c>
      <c r="J6" s="175">
        <v>1122</v>
      </c>
      <c r="K6" s="175">
        <v>1</v>
      </c>
      <c r="L6" s="49" t="s">
        <v>116</v>
      </c>
      <c r="M6" s="49" t="s">
        <v>81</v>
      </c>
      <c r="N6" s="700" t="s">
        <v>194</v>
      </c>
      <c r="O6" s="49" t="s">
        <v>196</v>
      </c>
      <c r="P6" s="211" t="s">
        <v>398</v>
      </c>
      <c r="Q6" s="305" t="s">
        <v>402</v>
      </c>
      <c r="R6" s="305" t="s">
        <v>398</v>
      </c>
      <c r="S6" s="305" t="s">
        <v>116</v>
      </c>
      <c r="T6" s="48" t="s">
        <v>403</v>
      </c>
      <c r="U6" s="992">
        <v>46027</v>
      </c>
      <c r="V6" s="211">
        <v>46028</v>
      </c>
      <c r="W6" s="308"/>
      <c r="X6" s="176">
        <v>46036</v>
      </c>
      <c r="Y6" s="48">
        <v>953742268</v>
      </c>
      <c r="Z6" s="3" t="s">
        <v>404</v>
      </c>
    </row>
    <row r="7" s="3" customFormat="1" ht="33.75" hidden="1" customHeight="1" spans="1:28">
      <c r="A7" s="49">
        <f t="shared" si="0"/>
        <v>4</v>
      </c>
      <c r="B7" s="48" t="s">
        <v>191</v>
      </c>
      <c r="C7" s="49" t="s">
        <v>192</v>
      </c>
      <c r="D7" s="51" t="s">
        <v>405</v>
      </c>
      <c r="E7" s="51"/>
      <c r="F7" s="52">
        <v>45966</v>
      </c>
      <c r="G7" s="52">
        <v>46029</v>
      </c>
      <c r="H7" s="52">
        <v>46029</v>
      </c>
      <c r="I7" s="53">
        <v>45971</v>
      </c>
      <c r="J7" s="175">
        <v>924</v>
      </c>
      <c r="K7" s="175">
        <v>1</v>
      </c>
      <c r="L7" s="49" t="s">
        <v>116</v>
      </c>
      <c r="M7" s="49" t="s">
        <v>81</v>
      </c>
      <c r="N7" s="700" t="s">
        <v>194</v>
      </c>
      <c r="O7" s="49" t="s">
        <v>196</v>
      </c>
      <c r="P7" s="211" t="s">
        <v>398</v>
      </c>
      <c r="Q7" s="305" t="s">
        <v>402</v>
      </c>
      <c r="R7" s="305" t="s">
        <v>398</v>
      </c>
      <c r="S7" s="305" t="s">
        <v>116</v>
      </c>
      <c r="T7" s="48" t="s">
        <v>403</v>
      </c>
      <c r="U7" s="992">
        <v>46027</v>
      </c>
      <c r="V7" s="211">
        <v>46028</v>
      </c>
      <c r="W7" s="308"/>
      <c r="X7" s="176">
        <v>46039</v>
      </c>
      <c r="Y7" s="48">
        <v>953742276</v>
      </c>
      <c r="Z7" s="3" t="s">
        <v>404</v>
      </c>
    </row>
    <row r="8" s="3" customFormat="1" ht="33.75" hidden="1" customHeight="1" spans="1:28">
      <c r="A8" s="49">
        <f t="shared" si="0"/>
        <v>5</v>
      </c>
      <c r="B8" s="48" t="s">
        <v>191</v>
      </c>
      <c r="C8" s="49" t="s">
        <v>192</v>
      </c>
      <c r="D8" s="51" t="s">
        <v>406</v>
      </c>
      <c r="E8" s="51"/>
      <c r="F8" s="52">
        <v>45966</v>
      </c>
      <c r="G8" s="52">
        <v>46029</v>
      </c>
      <c r="H8" s="52">
        <v>46029</v>
      </c>
      <c r="I8" s="53">
        <v>45971</v>
      </c>
      <c r="J8" s="175">
        <v>858</v>
      </c>
      <c r="K8" s="175">
        <v>1</v>
      </c>
      <c r="L8" s="49" t="s">
        <v>116</v>
      </c>
      <c r="M8" s="49" t="s">
        <v>81</v>
      </c>
      <c r="N8" s="700" t="s">
        <v>82</v>
      </c>
      <c r="O8" s="49" t="s">
        <v>196</v>
      </c>
      <c r="P8" s="211" t="s">
        <v>398</v>
      </c>
      <c r="Q8" s="305" t="s">
        <v>402</v>
      </c>
      <c r="R8" s="305" t="s">
        <v>398</v>
      </c>
      <c r="S8" s="305" t="s">
        <v>116</v>
      </c>
      <c r="T8" s="48" t="s">
        <v>403</v>
      </c>
      <c r="U8" s="992">
        <v>46027</v>
      </c>
      <c r="V8" s="211">
        <v>46028</v>
      </c>
      <c r="W8" s="308"/>
      <c r="X8" s="176">
        <v>46045</v>
      </c>
      <c r="Y8" s="48">
        <v>953742278</v>
      </c>
      <c r="Z8" s="3" t="s">
        <v>404</v>
      </c>
    </row>
    <row r="9" s="3" customFormat="1" ht="33.75" hidden="1" customHeight="1" spans="1:28">
      <c r="A9" s="49">
        <f t="shared" si="0"/>
        <v>6</v>
      </c>
      <c r="B9" s="48" t="s">
        <v>191</v>
      </c>
      <c r="C9" s="49" t="s">
        <v>192</v>
      </c>
      <c r="D9" s="51" t="s">
        <v>407</v>
      </c>
      <c r="E9" s="51"/>
      <c r="F9" s="52">
        <v>45966</v>
      </c>
      <c r="G9" s="52">
        <v>46029</v>
      </c>
      <c r="H9" s="52">
        <v>46029</v>
      </c>
      <c r="I9" s="53">
        <v>45971</v>
      </c>
      <c r="J9" s="175">
        <v>1056</v>
      </c>
      <c r="K9" s="175">
        <v>1</v>
      </c>
      <c r="L9" s="49" t="s">
        <v>116</v>
      </c>
      <c r="M9" s="49" t="s">
        <v>81</v>
      </c>
      <c r="N9" s="700" t="s">
        <v>194</v>
      </c>
      <c r="O9" s="49" t="s">
        <v>196</v>
      </c>
      <c r="P9" s="211" t="s">
        <v>398</v>
      </c>
      <c r="Q9" s="305" t="s">
        <v>402</v>
      </c>
      <c r="R9" s="305" t="s">
        <v>398</v>
      </c>
      <c r="S9" s="305" t="s">
        <v>116</v>
      </c>
      <c r="T9" s="48" t="s">
        <v>403</v>
      </c>
      <c r="U9" s="992">
        <v>46027</v>
      </c>
      <c r="V9" s="211">
        <v>46028</v>
      </c>
      <c r="W9" s="308"/>
      <c r="X9" s="176">
        <v>46034</v>
      </c>
      <c r="Y9" s="48">
        <v>953742289</v>
      </c>
      <c r="Z9" s="3" t="s">
        <v>404</v>
      </c>
    </row>
    <row r="10" s="3" customFormat="1" ht="33.75" hidden="1" customHeight="1" spans="1:28">
      <c r="A10" s="49">
        <f t="shared" si="0"/>
        <v>7</v>
      </c>
      <c r="B10" s="48" t="s">
        <v>191</v>
      </c>
      <c r="C10" s="49" t="s">
        <v>192</v>
      </c>
      <c r="D10" s="51" t="s">
        <v>408</v>
      </c>
      <c r="E10" s="51"/>
      <c r="F10" s="52">
        <v>45966</v>
      </c>
      <c r="G10" s="52">
        <v>46029</v>
      </c>
      <c r="H10" s="52">
        <v>46029</v>
      </c>
      <c r="I10" s="53">
        <v>45971</v>
      </c>
      <c r="J10" s="175">
        <v>1584</v>
      </c>
      <c r="K10" s="175">
        <v>1</v>
      </c>
      <c r="L10" s="49" t="s">
        <v>116</v>
      </c>
      <c r="M10" s="49" t="s">
        <v>81</v>
      </c>
      <c r="N10" s="700" t="s">
        <v>82</v>
      </c>
      <c r="O10" s="49" t="s">
        <v>196</v>
      </c>
      <c r="P10" s="211" t="s">
        <v>398</v>
      </c>
      <c r="Q10" s="305" t="s">
        <v>402</v>
      </c>
      <c r="R10" s="305" t="s">
        <v>398</v>
      </c>
      <c r="S10" s="305" t="s">
        <v>116</v>
      </c>
      <c r="T10" s="48" t="s">
        <v>403</v>
      </c>
      <c r="U10" s="992">
        <v>46027</v>
      </c>
      <c r="V10" s="211">
        <v>46028</v>
      </c>
      <c r="W10" s="308"/>
      <c r="X10" s="176">
        <v>46036</v>
      </c>
      <c r="Y10" s="48">
        <v>953742290</v>
      </c>
      <c r="Z10" s="3" t="s">
        <v>404</v>
      </c>
    </row>
    <row r="11" s="3" customFormat="1" ht="33.75" hidden="1" customHeight="1" spans="1:28">
      <c r="A11" s="49">
        <f t="shared" si="0"/>
        <v>8</v>
      </c>
      <c r="B11" s="48" t="s">
        <v>191</v>
      </c>
      <c r="C11" s="49" t="s">
        <v>192</v>
      </c>
      <c r="D11" s="51" t="s">
        <v>409</v>
      </c>
      <c r="E11" s="51"/>
      <c r="F11" s="52">
        <v>45966</v>
      </c>
      <c r="G11" s="52">
        <v>46029</v>
      </c>
      <c r="H11" s="52">
        <v>46029</v>
      </c>
      <c r="I11" s="53">
        <v>45971</v>
      </c>
      <c r="J11" s="175">
        <v>1254</v>
      </c>
      <c r="K11" s="175">
        <v>1</v>
      </c>
      <c r="L11" s="49" t="s">
        <v>116</v>
      </c>
      <c r="M11" s="49" t="s">
        <v>81</v>
      </c>
      <c r="N11" s="700" t="s">
        <v>194</v>
      </c>
      <c r="O11" s="49" t="s">
        <v>196</v>
      </c>
      <c r="P11" s="211" t="s">
        <v>398</v>
      </c>
      <c r="Q11" s="305" t="s">
        <v>402</v>
      </c>
      <c r="R11" s="305" t="s">
        <v>398</v>
      </c>
      <c r="S11" s="305" t="s">
        <v>116</v>
      </c>
      <c r="T11" s="48" t="s">
        <v>403</v>
      </c>
      <c r="U11" s="992">
        <v>46027</v>
      </c>
      <c r="V11" s="211">
        <v>46028</v>
      </c>
      <c r="W11" s="308"/>
      <c r="X11" s="176">
        <v>46039</v>
      </c>
      <c r="Y11" s="48">
        <v>953742291</v>
      </c>
      <c r="Z11" s="3" t="s">
        <v>404</v>
      </c>
    </row>
    <row r="12" s="3" customFormat="1" ht="33.75" hidden="1" customHeight="1" spans="1:28">
      <c r="A12" s="49">
        <f t="shared" si="0"/>
        <v>9</v>
      </c>
      <c r="B12" s="48" t="s">
        <v>191</v>
      </c>
      <c r="C12" s="49" t="s">
        <v>192</v>
      </c>
      <c r="D12" s="51" t="s">
        <v>410</v>
      </c>
      <c r="E12" s="51"/>
      <c r="F12" s="52">
        <v>45966</v>
      </c>
      <c r="G12" s="52">
        <v>46029</v>
      </c>
      <c r="H12" s="52">
        <v>46029</v>
      </c>
      <c r="I12" s="53">
        <v>45971</v>
      </c>
      <c r="J12" s="175">
        <v>924</v>
      </c>
      <c r="K12" s="175">
        <v>1</v>
      </c>
      <c r="L12" s="49" t="s">
        <v>116</v>
      </c>
      <c r="M12" s="49" t="s">
        <v>81</v>
      </c>
      <c r="N12" s="700" t="s">
        <v>194</v>
      </c>
      <c r="O12" s="49" t="s">
        <v>196</v>
      </c>
      <c r="P12" s="211" t="s">
        <v>398</v>
      </c>
      <c r="Q12" s="305" t="s">
        <v>402</v>
      </c>
      <c r="R12" s="305" t="s">
        <v>398</v>
      </c>
      <c r="S12" s="305" t="s">
        <v>116</v>
      </c>
      <c r="T12" s="48" t="s">
        <v>403</v>
      </c>
      <c r="U12" s="992">
        <v>46027</v>
      </c>
      <c r="V12" s="211">
        <v>46028</v>
      </c>
      <c r="W12" s="308"/>
      <c r="X12" s="176">
        <v>46034</v>
      </c>
      <c r="Y12" s="48">
        <v>953742296</v>
      </c>
      <c r="Z12" s="3" t="s">
        <v>404</v>
      </c>
    </row>
    <row r="13" s="3" customFormat="1" ht="33.75" hidden="1" customHeight="1" spans="1:28">
      <c r="A13" s="49">
        <f t="shared" si="0"/>
        <v>10</v>
      </c>
      <c r="B13" s="48" t="s">
        <v>191</v>
      </c>
      <c r="C13" s="49" t="s">
        <v>192</v>
      </c>
      <c r="D13" s="51" t="s">
        <v>193</v>
      </c>
      <c r="E13" s="51"/>
      <c r="F13" s="52">
        <v>45971</v>
      </c>
      <c r="G13" s="52">
        <v>46038</v>
      </c>
      <c r="H13" s="52">
        <v>46038</v>
      </c>
      <c r="I13" s="53">
        <v>45972</v>
      </c>
      <c r="J13" s="175">
        <v>660</v>
      </c>
      <c r="K13" s="175">
        <v>1</v>
      </c>
      <c r="L13" s="49" t="s">
        <v>116</v>
      </c>
      <c r="M13" s="49" t="s">
        <v>81</v>
      </c>
      <c r="N13" s="700" t="s">
        <v>411</v>
      </c>
      <c r="O13" s="49" t="s">
        <v>196</v>
      </c>
      <c r="P13" s="211" t="s">
        <v>398</v>
      </c>
      <c r="Q13" s="305" t="s">
        <v>329</v>
      </c>
      <c r="R13" s="305" t="s">
        <v>398</v>
      </c>
      <c r="S13" s="305" t="s">
        <v>116</v>
      </c>
      <c r="T13" s="48" t="s">
        <v>403</v>
      </c>
      <c r="U13" s="992">
        <v>46036</v>
      </c>
      <c r="V13" s="211">
        <v>46036</v>
      </c>
      <c r="W13" s="308"/>
      <c r="X13" s="176">
        <v>46049</v>
      </c>
      <c r="Y13" s="1285" t="s">
        <v>199</v>
      </c>
      <c r="Z13" s="3" t="s">
        <v>404</v>
      </c>
    </row>
    <row r="14" s="3" customFormat="1" ht="33.75" hidden="1" customHeight="1" spans="1:28">
      <c r="A14" s="49">
        <f t="shared" si="0"/>
        <v>11</v>
      </c>
      <c r="B14" s="48" t="s">
        <v>191</v>
      </c>
      <c r="C14" s="49" t="s">
        <v>192</v>
      </c>
      <c r="D14" s="51" t="s">
        <v>201</v>
      </c>
      <c r="E14" s="51"/>
      <c r="F14" s="52">
        <v>45971</v>
      </c>
      <c r="G14" s="52">
        <v>46038</v>
      </c>
      <c r="H14" s="52">
        <v>46038</v>
      </c>
      <c r="I14" s="53">
        <v>45972</v>
      </c>
      <c r="J14" s="175">
        <v>660</v>
      </c>
      <c r="K14" s="175">
        <v>1</v>
      </c>
      <c r="L14" s="49" t="s">
        <v>116</v>
      </c>
      <c r="M14" s="49" t="s">
        <v>81</v>
      </c>
      <c r="N14" s="700" t="s">
        <v>411</v>
      </c>
      <c r="O14" s="49" t="s">
        <v>196</v>
      </c>
      <c r="P14" s="211" t="s">
        <v>398</v>
      </c>
      <c r="Q14" s="305" t="s">
        <v>329</v>
      </c>
      <c r="R14" s="305" t="s">
        <v>398</v>
      </c>
      <c r="S14" s="305" t="s">
        <v>116</v>
      </c>
      <c r="T14" s="48" t="s">
        <v>403</v>
      </c>
      <c r="U14" s="992">
        <v>46036</v>
      </c>
      <c r="V14" s="211">
        <v>46036</v>
      </c>
      <c r="W14" s="308"/>
      <c r="X14" s="176">
        <v>46046</v>
      </c>
      <c r="Y14" s="1285" t="s">
        <v>202</v>
      </c>
      <c r="Z14" s="3" t="s">
        <v>404</v>
      </c>
    </row>
    <row r="15" s="3" customFormat="1" ht="33.75" hidden="1" customHeight="1" spans="1:28">
      <c r="A15" s="49">
        <f t="shared" si="0"/>
        <v>12</v>
      </c>
      <c r="B15" s="48" t="s">
        <v>191</v>
      </c>
      <c r="C15" s="49" t="s">
        <v>192</v>
      </c>
      <c r="D15" s="51" t="s">
        <v>203</v>
      </c>
      <c r="E15" s="51"/>
      <c r="F15" s="52">
        <v>45971</v>
      </c>
      <c r="G15" s="52">
        <v>46038</v>
      </c>
      <c r="H15" s="52">
        <v>46038</v>
      </c>
      <c r="I15" s="53">
        <v>45972</v>
      </c>
      <c r="J15" s="175">
        <v>858</v>
      </c>
      <c r="K15" s="175">
        <v>1</v>
      </c>
      <c r="L15" s="49" t="s">
        <v>116</v>
      </c>
      <c r="M15" s="49" t="s">
        <v>81</v>
      </c>
      <c r="N15" s="700" t="s">
        <v>411</v>
      </c>
      <c r="O15" s="49" t="s">
        <v>196</v>
      </c>
      <c r="P15" s="211" t="s">
        <v>398</v>
      </c>
      <c r="Q15" s="305" t="s">
        <v>329</v>
      </c>
      <c r="R15" s="305" t="s">
        <v>398</v>
      </c>
      <c r="S15" s="305" t="s">
        <v>116</v>
      </c>
      <c r="T15" s="48" t="s">
        <v>403</v>
      </c>
      <c r="U15" s="992">
        <v>46036</v>
      </c>
      <c r="V15" s="211">
        <v>46036</v>
      </c>
      <c r="W15" s="308"/>
      <c r="X15" s="176">
        <v>46049</v>
      </c>
      <c r="Y15" s="1285" t="s">
        <v>204</v>
      </c>
      <c r="Z15" s="3" t="s">
        <v>404</v>
      </c>
    </row>
    <row r="16" s="3" customFormat="1" ht="33.75" hidden="1" customHeight="1" spans="1:28">
      <c r="A16" s="49">
        <f t="shared" si="0"/>
        <v>13</v>
      </c>
      <c r="B16" s="48" t="s">
        <v>191</v>
      </c>
      <c r="C16" s="49" t="s">
        <v>192</v>
      </c>
      <c r="D16" s="51" t="s">
        <v>205</v>
      </c>
      <c r="E16" s="51"/>
      <c r="F16" s="52">
        <v>45971</v>
      </c>
      <c r="G16" s="52">
        <v>46038</v>
      </c>
      <c r="H16" s="52">
        <v>46038</v>
      </c>
      <c r="I16" s="53">
        <v>45972</v>
      </c>
      <c r="J16" s="175">
        <v>660</v>
      </c>
      <c r="K16" s="175">
        <v>1</v>
      </c>
      <c r="L16" s="49" t="s">
        <v>116</v>
      </c>
      <c r="M16" s="49" t="s">
        <v>81</v>
      </c>
      <c r="N16" s="700" t="s">
        <v>411</v>
      </c>
      <c r="O16" s="49" t="s">
        <v>196</v>
      </c>
      <c r="P16" s="211" t="s">
        <v>398</v>
      </c>
      <c r="Q16" s="305" t="s">
        <v>329</v>
      </c>
      <c r="R16" s="305" t="s">
        <v>398</v>
      </c>
      <c r="S16" s="305" t="s">
        <v>116</v>
      </c>
      <c r="T16" s="48" t="s">
        <v>403</v>
      </c>
      <c r="U16" s="992">
        <v>46036</v>
      </c>
      <c r="V16" s="211">
        <v>46036</v>
      </c>
      <c r="W16" s="308"/>
      <c r="X16" s="176">
        <v>46044</v>
      </c>
      <c r="Y16" s="1285" t="s">
        <v>206</v>
      </c>
      <c r="Z16" s="3" t="s">
        <v>404</v>
      </c>
    </row>
    <row r="17" s="3" customFormat="1" ht="33.75" hidden="1" customHeight="1" spans="1:27">
      <c r="A17" s="49">
        <f t="shared" si="0"/>
        <v>14</v>
      </c>
      <c r="B17" s="48" t="s">
        <v>412</v>
      </c>
      <c r="C17" s="49" t="s">
        <v>77</v>
      </c>
      <c r="D17" s="51" t="s">
        <v>413</v>
      </c>
      <c r="E17" s="51"/>
      <c r="F17" s="52">
        <v>45910</v>
      </c>
      <c r="G17" s="52">
        <v>46040</v>
      </c>
      <c r="H17" s="52">
        <v>46040</v>
      </c>
      <c r="I17" s="53">
        <v>45964</v>
      </c>
      <c r="J17" s="175">
        <v>800</v>
      </c>
      <c r="K17" s="175">
        <v>4</v>
      </c>
      <c r="L17" s="49" t="s">
        <v>116</v>
      </c>
      <c r="M17" s="49" t="s">
        <v>81</v>
      </c>
      <c r="N17" s="700" t="s">
        <v>411</v>
      </c>
      <c r="O17" s="49" t="s">
        <v>196</v>
      </c>
      <c r="P17" s="211" t="s">
        <v>398</v>
      </c>
      <c r="Q17" s="176"/>
      <c r="R17" s="305" t="s">
        <v>398</v>
      </c>
      <c r="S17" s="305" t="s">
        <v>116</v>
      </c>
      <c r="T17" s="48" t="s">
        <v>414</v>
      </c>
      <c r="U17" s="992">
        <v>45673</v>
      </c>
      <c r="V17" s="211">
        <v>46038</v>
      </c>
      <c r="W17" s="308"/>
      <c r="X17" s="176">
        <v>46049</v>
      </c>
      <c r="Y17" s="48">
        <v>15957033</v>
      </c>
      <c r="Z17" s="159" t="s">
        <v>415</v>
      </c>
    </row>
    <row r="18" s="3" customFormat="1" ht="33.75" hidden="1" customHeight="1" spans="1:27">
      <c r="A18" s="49">
        <f t="shared" si="0"/>
        <v>15</v>
      </c>
      <c r="B18" s="48" t="s">
        <v>416</v>
      </c>
      <c r="C18" s="49" t="s">
        <v>77</v>
      </c>
      <c r="D18" s="51" t="s">
        <v>417</v>
      </c>
      <c r="E18" s="51"/>
      <c r="F18" s="52">
        <v>45910</v>
      </c>
      <c r="G18" s="52">
        <v>46040</v>
      </c>
      <c r="H18" s="52">
        <v>46040</v>
      </c>
      <c r="I18" s="53">
        <v>45964</v>
      </c>
      <c r="J18" s="175">
        <v>200</v>
      </c>
      <c r="K18" s="175">
        <v>4</v>
      </c>
      <c r="L18" s="49" t="s">
        <v>116</v>
      </c>
      <c r="M18" s="49" t="s">
        <v>81</v>
      </c>
      <c r="N18" s="700" t="s">
        <v>411</v>
      </c>
      <c r="O18" s="49" t="s">
        <v>196</v>
      </c>
      <c r="P18" s="211" t="s">
        <v>398</v>
      </c>
      <c r="Q18" s="176"/>
      <c r="R18" s="305" t="s">
        <v>398</v>
      </c>
      <c r="S18" s="305" t="s">
        <v>116</v>
      </c>
      <c r="T18" s="48" t="s">
        <v>418</v>
      </c>
      <c r="U18" s="992">
        <v>45673</v>
      </c>
      <c r="V18" s="211">
        <v>46038</v>
      </c>
      <c r="W18" s="308"/>
      <c r="X18" s="176">
        <v>46049</v>
      </c>
      <c r="Y18" s="48">
        <v>15957036</v>
      </c>
      <c r="Z18" s="159" t="s">
        <v>419</v>
      </c>
    </row>
    <row r="19" s="3" customFormat="1" ht="33.75" hidden="1" customHeight="1" spans="1:27">
      <c r="A19" s="49">
        <f t="shared" si="0"/>
        <v>16</v>
      </c>
      <c r="B19" s="48" t="s">
        <v>420</v>
      </c>
      <c r="C19" s="49" t="s">
        <v>421</v>
      </c>
      <c r="D19" s="51" t="s">
        <v>422</v>
      </c>
      <c r="E19" s="51"/>
      <c r="F19" s="52">
        <v>45982</v>
      </c>
      <c r="G19" s="52">
        <v>46045</v>
      </c>
      <c r="H19" s="52">
        <v>46045</v>
      </c>
      <c r="I19" s="53">
        <v>45995</v>
      </c>
      <c r="J19" s="175">
        <v>3000</v>
      </c>
      <c r="K19" s="175">
        <v>4</v>
      </c>
      <c r="L19" s="49" t="s">
        <v>116</v>
      </c>
      <c r="M19" s="49" t="s">
        <v>81</v>
      </c>
      <c r="N19" s="700" t="s">
        <v>423</v>
      </c>
      <c r="O19" s="49" t="s">
        <v>196</v>
      </c>
      <c r="P19" s="211" t="s">
        <v>424</v>
      </c>
      <c r="Q19" s="211" t="s">
        <v>423</v>
      </c>
      <c r="R19" s="305" t="s">
        <v>424</v>
      </c>
      <c r="S19" s="305" t="s">
        <v>116</v>
      </c>
      <c r="T19" s="48" t="s">
        <v>425</v>
      </c>
      <c r="U19" s="992">
        <v>46043</v>
      </c>
      <c r="V19" s="211">
        <v>46044</v>
      </c>
      <c r="W19" s="308"/>
      <c r="X19" s="176">
        <v>46050</v>
      </c>
      <c r="Y19" s="48" t="s">
        <v>426</v>
      </c>
      <c r="Z19" s="159" t="s">
        <v>415</v>
      </c>
    </row>
    <row r="20" s="3" customFormat="1" ht="33.75" hidden="1" customHeight="1" spans="1:27">
      <c r="A20" s="49">
        <f t="shared" si="0"/>
        <v>17</v>
      </c>
      <c r="B20" s="48" t="s">
        <v>341</v>
      </c>
      <c r="C20" s="49" t="s">
        <v>342</v>
      </c>
      <c r="D20" s="51" t="s">
        <v>427</v>
      </c>
      <c r="E20" s="51" t="s">
        <v>349</v>
      </c>
      <c r="F20" s="52">
        <v>45954</v>
      </c>
      <c r="G20" s="52">
        <v>46080</v>
      </c>
      <c r="H20" s="52">
        <v>46080</v>
      </c>
      <c r="I20" s="53">
        <v>46021</v>
      </c>
      <c r="J20" s="175">
        <v>184</v>
      </c>
      <c r="K20" s="175">
        <v>4</v>
      </c>
      <c r="L20" s="49" t="s">
        <v>396</v>
      </c>
      <c r="M20" s="49" t="s">
        <v>81</v>
      </c>
      <c r="N20" s="700" t="s">
        <v>387</v>
      </c>
      <c r="O20" s="49" t="s">
        <v>81</v>
      </c>
      <c r="P20" s="211" t="s">
        <v>397</v>
      </c>
      <c r="Q20" s="305" t="s">
        <v>389</v>
      </c>
      <c r="R20" s="305" t="s">
        <v>350</v>
      </c>
      <c r="S20" s="305" t="s">
        <v>396</v>
      </c>
      <c r="T20" s="48" t="s">
        <v>399</v>
      </c>
      <c r="U20" s="992">
        <v>46078</v>
      </c>
      <c r="V20" s="211">
        <v>46086</v>
      </c>
      <c r="W20" s="211"/>
      <c r="X20" s="176">
        <v>46090</v>
      </c>
      <c r="Y20" s="48" t="s">
        <v>428</v>
      </c>
      <c r="Z20" s="159" t="s">
        <v>393</v>
      </c>
    </row>
    <row r="21" s="3" customFormat="1" ht="33.75" hidden="1" customHeight="1" spans="1:27">
      <c r="A21" s="49">
        <f t="shared" si="0"/>
        <v>18</v>
      </c>
      <c r="B21" s="48" t="s">
        <v>416</v>
      </c>
      <c r="C21" s="49" t="s">
        <v>77</v>
      </c>
      <c r="D21" s="51" t="s">
        <v>429</v>
      </c>
      <c r="E21" s="51" t="s">
        <v>430</v>
      </c>
      <c r="F21" s="52">
        <v>45910</v>
      </c>
      <c r="G21" s="52">
        <v>46082</v>
      </c>
      <c r="H21" s="52">
        <v>46082</v>
      </c>
      <c r="I21" s="53">
        <v>45964</v>
      </c>
      <c r="J21" s="175">
        <v>200</v>
      </c>
      <c r="K21" s="175">
        <v>4</v>
      </c>
      <c r="L21" s="49" t="s">
        <v>116</v>
      </c>
      <c r="M21" s="49" t="s">
        <v>81</v>
      </c>
      <c r="N21" s="700" t="s">
        <v>411</v>
      </c>
      <c r="O21" s="49" t="s">
        <v>196</v>
      </c>
      <c r="P21" s="211" t="s">
        <v>431</v>
      </c>
      <c r="Q21" s="176"/>
      <c r="R21" s="305" t="s">
        <v>398</v>
      </c>
      <c r="S21" s="305" t="s">
        <v>116</v>
      </c>
      <c r="T21" s="48" t="s">
        <v>432</v>
      </c>
      <c r="U21" s="992" t="s">
        <v>433</v>
      </c>
      <c r="V21" s="211">
        <v>46085</v>
      </c>
      <c r="W21" s="308"/>
      <c r="X21" s="176">
        <v>46091</v>
      </c>
      <c r="Y21" s="48">
        <v>15957038</v>
      </c>
      <c r="Z21" s="159" t="s">
        <v>419</v>
      </c>
    </row>
    <row r="22" s="3" customFormat="1" ht="33.75" hidden="1" customHeight="1" spans="1:27">
      <c r="A22" s="49">
        <f t="shared" si="0"/>
        <v>19</v>
      </c>
      <c r="B22" s="48" t="s">
        <v>383</v>
      </c>
      <c r="C22" s="49" t="s">
        <v>114</v>
      </c>
      <c r="D22" s="51" t="s">
        <v>434</v>
      </c>
      <c r="E22" s="51" t="s">
        <v>435</v>
      </c>
      <c r="F22" s="52">
        <v>46036</v>
      </c>
      <c r="G22" s="52">
        <v>46102</v>
      </c>
      <c r="H22" s="52">
        <v>46102</v>
      </c>
      <c r="I22" s="53">
        <v>46037</v>
      </c>
      <c r="J22" s="175">
        <v>100</v>
      </c>
      <c r="K22" s="175">
        <v>4</v>
      </c>
      <c r="L22" s="49" t="s">
        <v>436</v>
      </c>
      <c r="M22" s="49" t="s">
        <v>81</v>
      </c>
      <c r="N22" s="700" t="s">
        <v>423</v>
      </c>
      <c r="O22" s="49" t="s">
        <v>81</v>
      </c>
      <c r="P22" s="211"/>
      <c r="Q22" s="176"/>
      <c r="R22" s="305" t="s">
        <v>365</v>
      </c>
      <c r="S22" s="305" t="s">
        <v>436</v>
      </c>
      <c r="T22" s="48" t="s">
        <v>437</v>
      </c>
      <c r="U22" s="992">
        <v>46100</v>
      </c>
      <c r="V22" s="211">
        <v>46099</v>
      </c>
      <c r="W22" s="211"/>
      <c r="X22" s="176">
        <v>46101</v>
      </c>
      <c r="Y22" s="48" t="s">
        <v>438</v>
      </c>
      <c r="Z22" s="159" t="s">
        <v>393</v>
      </c>
    </row>
    <row r="23" s="3" customFormat="1" ht="33.75" hidden="1" customHeight="1" spans="1:27">
      <c r="A23" s="96">
        <f t="shared" ref="A23:A29" si="1">ROW()-3</f>
        <v>20</v>
      </c>
      <c r="B23" s="183" t="s">
        <v>439</v>
      </c>
      <c r="C23" s="96"/>
      <c r="D23" s="293"/>
      <c r="E23" s="293"/>
      <c r="F23" s="217"/>
      <c r="G23" s="217"/>
      <c r="H23" s="217"/>
      <c r="I23" s="218"/>
      <c r="J23" s="95">
        <v>10</v>
      </c>
      <c r="K23" s="95"/>
      <c r="L23" s="219"/>
      <c r="M23" s="219"/>
      <c r="N23" s="1185"/>
      <c r="O23" s="96"/>
      <c r="P23" s="279"/>
      <c r="Q23" s="97"/>
      <c r="R23" s="297"/>
      <c r="S23" s="297"/>
      <c r="T23" s="183"/>
      <c r="U23" s="1002"/>
      <c r="V23" s="279"/>
      <c r="W23" s="222"/>
      <c r="X23" s="97">
        <v>46122</v>
      </c>
      <c r="Y23" s="183"/>
      <c r="Z23" s="159"/>
    </row>
    <row r="24" s="3" customFormat="1" ht="33.75" customHeight="1" spans="1:27">
      <c r="A24" s="49">
        <f t="shared" si="1"/>
        <v>21</v>
      </c>
      <c r="B24" s="48" t="s">
        <v>440</v>
      </c>
      <c r="C24" s="49" t="s">
        <v>114</v>
      </c>
      <c r="D24" s="51" t="s">
        <v>441</v>
      </c>
      <c r="E24" s="51" t="s">
        <v>442</v>
      </c>
      <c r="F24" s="52">
        <v>46044</v>
      </c>
      <c r="G24" s="52">
        <v>46136</v>
      </c>
      <c r="H24" s="52">
        <v>46136</v>
      </c>
      <c r="I24" s="53">
        <v>46092</v>
      </c>
      <c r="J24" s="175">
        <v>100</v>
      </c>
      <c r="K24" s="175">
        <v>4</v>
      </c>
      <c r="L24" s="49" t="s">
        <v>127</v>
      </c>
      <c r="M24" s="49" t="s">
        <v>81</v>
      </c>
      <c r="N24" s="700" t="s">
        <v>128</v>
      </c>
      <c r="O24" s="49" t="s">
        <v>81</v>
      </c>
      <c r="P24" s="211" t="s">
        <v>443</v>
      </c>
      <c r="Q24" s="176" t="s">
        <v>128</v>
      </c>
      <c r="R24" s="305" t="s">
        <v>444</v>
      </c>
      <c r="S24" s="305" t="s">
        <v>127</v>
      </c>
      <c r="T24" s="48" t="s">
        <v>445</v>
      </c>
      <c r="U24" s="992">
        <v>46136</v>
      </c>
      <c r="V24" s="211">
        <v>46136</v>
      </c>
      <c r="W24" s="211" t="s">
        <v>446</v>
      </c>
      <c r="X24" s="176"/>
      <c r="Y24" s="48" t="s">
        <v>447</v>
      </c>
      <c r="Z24" s="159" t="s">
        <v>393</v>
      </c>
      <c r="AA24" s="3" t="s">
        <v>448</v>
      </c>
    </row>
    <row r="25" s="3" customFormat="1" ht="33.75" customHeight="1" spans="1:27">
      <c r="A25" s="49">
        <f t="shared" si="1"/>
        <v>22</v>
      </c>
      <c r="B25" s="48" t="s">
        <v>440</v>
      </c>
      <c r="C25" s="49" t="s">
        <v>114</v>
      </c>
      <c r="D25" s="51" t="s">
        <v>441</v>
      </c>
      <c r="E25" s="51" t="s">
        <v>442</v>
      </c>
      <c r="F25" s="52">
        <v>46044</v>
      </c>
      <c r="G25" s="52">
        <v>46136</v>
      </c>
      <c r="H25" s="52">
        <v>46136</v>
      </c>
      <c r="I25" s="53">
        <v>46092</v>
      </c>
      <c r="J25" s="175">
        <v>100</v>
      </c>
      <c r="K25" s="175">
        <v>4</v>
      </c>
      <c r="L25" s="49" t="s">
        <v>127</v>
      </c>
      <c r="M25" s="49" t="s">
        <v>81</v>
      </c>
      <c r="N25" s="700" t="s">
        <v>128</v>
      </c>
      <c r="O25" s="49" t="s">
        <v>81</v>
      </c>
      <c r="P25" s="211" t="s">
        <v>82</v>
      </c>
      <c r="Q25" s="176" t="s">
        <v>128</v>
      </c>
      <c r="R25" s="305" t="s">
        <v>444</v>
      </c>
      <c r="S25" s="305" t="s">
        <v>127</v>
      </c>
      <c r="T25" s="48" t="s">
        <v>445</v>
      </c>
      <c r="U25" s="176">
        <v>46136</v>
      </c>
      <c r="V25" s="211">
        <v>46136</v>
      </c>
      <c r="W25" s="211" t="s">
        <v>446</v>
      </c>
      <c r="X25" s="176"/>
      <c r="Y25" s="48" t="s">
        <v>449</v>
      </c>
      <c r="Z25" s="3" t="s">
        <v>393</v>
      </c>
      <c r="AA25" s="3" t="s">
        <v>448</v>
      </c>
    </row>
    <row r="26" s="3" customFormat="1" ht="27" hidden="1" customHeight="1" spans="1:27">
      <c r="A26" s="49">
        <f t="shared" si="1"/>
        <v>23</v>
      </c>
      <c r="B26" s="48" t="s">
        <v>394</v>
      </c>
      <c r="C26" s="49" t="s">
        <v>342</v>
      </c>
      <c r="D26" s="50" t="s">
        <v>450</v>
      </c>
      <c r="E26" s="51" t="s">
        <v>451</v>
      </c>
      <c r="F26" s="52">
        <v>46079</v>
      </c>
      <c r="G26" s="52">
        <v>46149</v>
      </c>
      <c r="H26" s="52">
        <v>46149</v>
      </c>
      <c r="I26" s="53">
        <v>46094</v>
      </c>
      <c r="J26" s="175">
        <v>340</v>
      </c>
      <c r="K26" s="175">
        <v>4</v>
      </c>
      <c r="L26" s="49" t="s">
        <v>127</v>
      </c>
      <c r="M26" s="49" t="s">
        <v>81</v>
      </c>
      <c r="N26" s="700" t="s">
        <v>128</v>
      </c>
      <c r="O26" s="49" t="s">
        <v>81</v>
      </c>
      <c r="P26" s="211" t="s">
        <v>82</v>
      </c>
      <c r="Q26" s="176" t="s">
        <v>128</v>
      </c>
      <c r="R26" s="48" t="s">
        <v>130</v>
      </c>
      <c r="S26" s="305" t="s">
        <v>127</v>
      </c>
      <c r="T26" s="48" t="s">
        <v>399</v>
      </c>
      <c r="U26" s="176">
        <v>46149</v>
      </c>
      <c r="V26" s="211">
        <v>46136</v>
      </c>
      <c r="W26" s="176"/>
      <c r="X26" s="176">
        <v>46148</v>
      </c>
      <c r="Y26" s="48" t="s">
        <v>452</v>
      </c>
      <c r="Z26" s="3" t="s">
        <v>393</v>
      </c>
      <c r="AA26" s="3" t="s">
        <v>448</v>
      </c>
    </row>
    <row r="27" s="3" customFormat="1" ht="27" hidden="1" customHeight="1" spans="1:27">
      <c r="A27" s="49">
        <f t="shared" si="1"/>
        <v>24</v>
      </c>
      <c r="B27" s="48" t="s">
        <v>394</v>
      </c>
      <c r="C27" s="49" t="s">
        <v>342</v>
      </c>
      <c r="D27" s="50" t="s">
        <v>450</v>
      </c>
      <c r="E27" s="51" t="s">
        <v>451</v>
      </c>
      <c r="F27" s="52">
        <v>46079</v>
      </c>
      <c r="G27" s="52">
        <v>46149</v>
      </c>
      <c r="H27" s="52">
        <v>46149</v>
      </c>
      <c r="I27" s="53">
        <v>46094</v>
      </c>
      <c r="J27" s="175">
        <v>136</v>
      </c>
      <c r="K27" s="175">
        <v>4</v>
      </c>
      <c r="L27" s="49" t="s">
        <v>127</v>
      </c>
      <c r="M27" s="49" t="s">
        <v>81</v>
      </c>
      <c r="N27" s="700" t="s">
        <v>128</v>
      </c>
      <c r="O27" s="49" t="s">
        <v>81</v>
      </c>
      <c r="P27" s="211" t="s">
        <v>82</v>
      </c>
      <c r="Q27" s="176" t="s">
        <v>128</v>
      </c>
      <c r="R27" s="48" t="s">
        <v>130</v>
      </c>
      <c r="S27" s="305" t="s">
        <v>127</v>
      </c>
      <c r="T27" s="48" t="s">
        <v>399</v>
      </c>
      <c r="U27" s="176">
        <v>46149</v>
      </c>
      <c r="V27" s="211">
        <v>46136</v>
      </c>
      <c r="W27" s="176"/>
      <c r="X27" s="176">
        <v>46148</v>
      </c>
      <c r="Y27" s="48" t="s">
        <v>453</v>
      </c>
      <c r="Z27" s="3" t="s">
        <v>393</v>
      </c>
      <c r="AA27" s="3" t="s">
        <v>448</v>
      </c>
    </row>
    <row r="28" s="3" customFormat="1" ht="27" hidden="1" customHeight="1" spans="1:27">
      <c r="A28" s="49">
        <f t="shared" si="1"/>
        <v>25</v>
      </c>
      <c r="B28" s="48" t="s">
        <v>394</v>
      </c>
      <c r="C28" s="49" t="s">
        <v>342</v>
      </c>
      <c r="D28" s="50" t="s">
        <v>450</v>
      </c>
      <c r="E28" s="51" t="s">
        <v>451</v>
      </c>
      <c r="F28" s="52">
        <v>46079</v>
      </c>
      <c r="G28" s="52">
        <v>46149</v>
      </c>
      <c r="H28" s="52">
        <v>46149</v>
      </c>
      <c r="I28" s="53">
        <v>46094</v>
      </c>
      <c r="J28" s="175">
        <v>572</v>
      </c>
      <c r="K28" s="175">
        <v>4</v>
      </c>
      <c r="L28" s="49" t="s">
        <v>127</v>
      </c>
      <c r="M28" s="49" t="s">
        <v>81</v>
      </c>
      <c r="N28" s="700" t="s">
        <v>128</v>
      </c>
      <c r="O28" s="49" t="s">
        <v>81</v>
      </c>
      <c r="P28" s="211" t="s">
        <v>82</v>
      </c>
      <c r="Q28" s="176" t="s">
        <v>128</v>
      </c>
      <c r="R28" s="48" t="s">
        <v>130</v>
      </c>
      <c r="S28" s="305" t="s">
        <v>127</v>
      </c>
      <c r="T28" s="48" t="s">
        <v>399</v>
      </c>
      <c r="U28" s="176">
        <v>46149</v>
      </c>
      <c r="V28" s="211">
        <v>46136</v>
      </c>
      <c r="W28" s="176"/>
      <c r="X28" s="176">
        <v>46148</v>
      </c>
      <c r="Y28" s="48" t="s">
        <v>454</v>
      </c>
      <c r="Z28" s="3" t="s">
        <v>393</v>
      </c>
      <c r="AA28" s="3" t="s">
        <v>448</v>
      </c>
    </row>
    <row r="29" s="3" customFormat="1" ht="27" hidden="1" customHeight="1" spans="1:27">
      <c r="A29" s="49">
        <f t="shared" si="1"/>
        <v>26</v>
      </c>
      <c r="B29" s="48" t="s">
        <v>394</v>
      </c>
      <c r="C29" s="49" t="s">
        <v>342</v>
      </c>
      <c r="D29" s="50" t="s">
        <v>450</v>
      </c>
      <c r="E29" s="51" t="s">
        <v>451</v>
      </c>
      <c r="F29" s="52">
        <v>46079</v>
      </c>
      <c r="G29" s="52">
        <v>46149</v>
      </c>
      <c r="H29" s="52">
        <v>46149</v>
      </c>
      <c r="I29" s="53">
        <v>46094</v>
      </c>
      <c r="J29" s="175">
        <v>400</v>
      </c>
      <c r="K29" s="175">
        <v>4</v>
      </c>
      <c r="L29" s="49" t="s">
        <v>127</v>
      </c>
      <c r="M29" s="49" t="s">
        <v>81</v>
      </c>
      <c r="N29" s="700" t="s">
        <v>128</v>
      </c>
      <c r="O29" s="49" t="s">
        <v>81</v>
      </c>
      <c r="P29" s="211" t="s">
        <v>82</v>
      </c>
      <c r="Q29" s="176" t="s">
        <v>128</v>
      </c>
      <c r="R29" s="48" t="s">
        <v>130</v>
      </c>
      <c r="S29" s="305" t="s">
        <v>127</v>
      </c>
      <c r="T29" s="48" t="s">
        <v>399</v>
      </c>
      <c r="U29" s="176">
        <v>46149</v>
      </c>
      <c r="V29" s="211">
        <v>46136</v>
      </c>
      <c r="W29" s="176"/>
      <c r="X29" s="176">
        <v>46148</v>
      </c>
      <c r="Y29" s="48" t="s">
        <v>455</v>
      </c>
      <c r="Z29" s="3" t="s">
        <v>393</v>
      </c>
      <c r="AA29" s="3" t="s">
        <v>448</v>
      </c>
    </row>
    <row r="30" s="3" customFormat="1" ht="27" hidden="1" customHeight="1" spans="1:27">
      <c r="A30" s="49">
        <f t="shared" ref="A30:A46" si="2">ROW()-3</f>
        <v>27</v>
      </c>
      <c r="B30" s="48" t="s">
        <v>420</v>
      </c>
      <c r="C30" s="49" t="s">
        <v>421</v>
      </c>
      <c r="D30" s="50" t="s">
        <v>456</v>
      </c>
      <c r="E30" s="50" t="s">
        <v>457</v>
      </c>
      <c r="F30" s="52">
        <v>46093</v>
      </c>
      <c r="G30" s="52">
        <v>46157</v>
      </c>
      <c r="H30" s="52">
        <v>46157</v>
      </c>
      <c r="I30" s="53">
        <v>46129</v>
      </c>
      <c r="J30" s="175">
        <v>584</v>
      </c>
      <c r="K30" s="175">
        <v>4</v>
      </c>
      <c r="L30" s="49" t="s">
        <v>458</v>
      </c>
      <c r="M30" s="49" t="s">
        <v>81</v>
      </c>
      <c r="N30" s="700" t="s">
        <v>128</v>
      </c>
      <c r="O30" s="49" t="s">
        <v>196</v>
      </c>
      <c r="P30" s="211" t="s">
        <v>459</v>
      </c>
      <c r="Q30" s="176" t="s">
        <v>128</v>
      </c>
      <c r="R30" s="48" t="s">
        <v>460</v>
      </c>
      <c r="S30" s="49" t="s">
        <v>458</v>
      </c>
      <c r="T30" s="48" t="s">
        <v>425</v>
      </c>
      <c r="U30" s="176">
        <v>46157</v>
      </c>
      <c r="V30" s="211">
        <v>46156</v>
      </c>
      <c r="W30" s="325"/>
      <c r="X30" s="176">
        <v>46165</v>
      </c>
      <c r="Y30" s="48" t="s">
        <v>461</v>
      </c>
      <c r="Z30" s="3" t="s">
        <v>415</v>
      </c>
      <c r="AA30" s="3" t="s">
        <v>448</v>
      </c>
    </row>
    <row r="31" s="3" customFormat="1" ht="27" hidden="1" customHeight="1" spans="1:27">
      <c r="A31" s="49">
        <f t="shared" si="2"/>
        <v>28</v>
      </c>
      <c r="B31" s="48" t="s">
        <v>420</v>
      </c>
      <c r="C31" s="49" t="s">
        <v>421</v>
      </c>
      <c r="D31" s="50" t="s">
        <v>462</v>
      </c>
      <c r="E31" s="50" t="s">
        <v>463</v>
      </c>
      <c r="F31" s="52">
        <v>46093</v>
      </c>
      <c r="G31" s="52">
        <v>46157</v>
      </c>
      <c r="H31" s="52">
        <v>46157</v>
      </c>
      <c r="I31" s="53">
        <v>46129</v>
      </c>
      <c r="J31" s="175">
        <v>816</v>
      </c>
      <c r="K31" s="175">
        <v>4</v>
      </c>
      <c r="L31" s="49" t="s">
        <v>458</v>
      </c>
      <c r="M31" s="49" t="s">
        <v>81</v>
      </c>
      <c r="N31" s="700" t="s">
        <v>128</v>
      </c>
      <c r="O31" s="49" t="s">
        <v>196</v>
      </c>
      <c r="P31" s="211" t="s">
        <v>459</v>
      </c>
      <c r="Q31" s="176" t="s">
        <v>128</v>
      </c>
      <c r="R31" s="48" t="s">
        <v>460</v>
      </c>
      <c r="S31" s="49" t="s">
        <v>458</v>
      </c>
      <c r="T31" s="48" t="s">
        <v>425</v>
      </c>
      <c r="U31" s="176">
        <v>46157</v>
      </c>
      <c r="V31" s="211">
        <v>46156</v>
      </c>
      <c r="W31" s="325"/>
      <c r="X31" s="176">
        <v>46179</v>
      </c>
      <c r="Y31" s="48" t="s">
        <v>464</v>
      </c>
      <c r="Z31" s="3" t="s">
        <v>415</v>
      </c>
      <c r="AA31" s="3" t="s">
        <v>448</v>
      </c>
    </row>
    <row r="32" s="3" customFormat="1" ht="27" hidden="1" customHeight="1" spans="1:27">
      <c r="A32" s="49">
        <f t="shared" si="2"/>
        <v>29</v>
      </c>
      <c r="B32" s="48" t="s">
        <v>465</v>
      </c>
      <c r="C32" s="49" t="s">
        <v>466</v>
      </c>
      <c r="D32" s="50" t="s">
        <v>467</v>
      </c>
      <c r="E32" s="50" t="s">
        <v>468</v>
      </c>
      <c r="F32" s="52">
        <v>46055</v>
      </c>
      <c r="G32" s="52">
        <v>46164</v>
      </c>
      <c r="H32" s="52">
        <v>46164</v>
      </c>
      <c r="I32" s="53">
        <v>46120</v>
      </c>
      <c r="J32" s="175">
        <v>44</v>
      </c>
      <c r="K32" s="175">
        <v>4</v>
      </c>
      <c r="L32" s="49" t="s">
        <v>458</v>
      </c>
      <c r="M32" s="49" t="s">
        <v>81</v>
      </c>
      <c r="N32" s="305" t="s">
        <v>469</v>
      </c>
      <c r="O32" s="49" t="s">
        <v>196</v>
      </c>
      <c r="P32" s="211" t="s">
        <v>459</v>
      </c>
      <c r="Q32" s="176" t="s">
        <v>469</v>
      </c>
      <c r="R32" s="48" t="s">
        <v>460</v>
      </c>
      <c r="S32" s="49" t="s">
        <v>458</v>
      </c>
      <c r="T32" s="48" t="s">
        <v>470</v>
      </c>
      <c r="U32" s="176">
        <v>46164</v>
      </c>
      <c r="V32" s="211">
        <v>46164</v>
      </c>
      <c r="W32" s="325"/>
      <c r="X32" s="176">
        <v>46177</v>
      </c>
      <c r="Y32" s="1285" t="s">
        <v>471</v>
      </c>
      <c r="Z32" s="3" t="s">
        <v>415</v>
      </c>
      <c r="AA32" s="3" t="s">
        <v>472</v>
      </c>
    </row>
    <row r="33" s="3" customFormat="1" ht="27" hidden="1" customHeight="1" spans="1:28">
      <c r="A33" s="49">
        <f t="shared" si="2"/>
        <v>30</v>
      </c>
      <c r="B33" s="48" t="s">
        <v>465</v>
      </c>
      <c r="C33" s="49" t="s">
        <v>466</v>
      </c>
      <c r="D33" s="50" t="s">
        <v>473</v>
      </c>
      <c r="E33" s="50" t="s">
        <v>474</v>
      </c>
      <c r="F33" s="52">
        <v>46055</v>
      </c>
      <c r="G33" s="52">
        <v>46164</v>
      </c>
      <c r="H33" s="52">
        <v>46164</v>
      </c>
      <c r="I33" s="53">
        <v>46120</v>
      </c>
      <c r="J33" s="175">
        <v>52</v>
      </c>
      <c r="K33" s="175">
        <v>4</v>
      </c>
      <c r="L33" s="49" t="s">
        <v>458</v>
      </c>
      <c r="M33" s="49" t="s">
        <v>81</v>
      </c>
      <c r="N33" s="700" t="s">
        <v>469</v>
      </c>
      <c r="O33" s="49" t="s">
        <v>196</v>
      </c>
      <c r="P33" s="211" t="s">
        <v>459</v>
      </c>
      <c r="Q33" s="176" t="s">
        <v>469</v>
      </c>
      <c r="R33" s="48" t="s">
        <v>460</v>
      </c>
      <c r="S33" s="49" t="s">
        <v>458</v>
      </c>
      <c r="T33" s="48" t="s">
        <v>425</v>
      </c>
      <c r="U33" s="176">
        <v>46164</v>
      </c>
      <c r="V33" s="211">
        <v>46164</v>
      </c>
      <c r="W33" s="325"/>
      <c r="X33" s="176">
        <v>46177</v>
      </c>
      <c r="Y33" s="1285" t="s">
        <v>475</v>
      </c>
      <c r="Z33" s="3" t="s">
        <v>415</v>
      </c>
      <c r="AA33" s="3" t="s">
        <v>472</v>
      </c>
    </row>
    <row r="34" s="3" customFormat="1" ht="27" hidden="1" customHeight="1" spans="1:28">
      <c r="A34" s="49">
        <f t="shared" si="2"/>
        <v>31</v>
      </c>
      <c r="B34" s="48" t="s">
        <v>465</v>
      </c>
      <c r="C34" s="49" t="s">
        <v>466</v>
      </c>
      <c r="D34" s="50" t="s">
        <v>476</v>
      </c>
      <c r="E34" s="50" t="s">
        <v>477</v>
      </c>
      <c r="F34" s="52">
        <v>46055</v>
      </c>
      <c r="G34" s="52">
        <v>46164</v>
      </c>
      <c r="H34" s="52">
        <v>46164</v>
      </c>
      <c r="I34" s="53">
        <v>46120</v>
      </c>
      <c r="J34" s="175">
        <v>68</v>
      </c>
      <c r="K34" s="175">
        <v>4</v>
      </c>
      <c r="L34" s="49" t="s">
        <v>458</v>
      </c>
      <c r="M34" s="49" t="s">
        <v>81</v>
      </c>
      <c r="N34" s="700" t="s">
        <v>469</v>
      </c>
      <c r="O34" s="49" t="s">
        <v>196</v>
      </c>
      <c r="P34" s="211" t="s">
        <v>459</v>
      </c>
      <c r="Q34" s="176" t="s">
        <v>469</v>
      </c>
      <c r="R34" s="48" t="s">
        <v>460</v>
      </c>
      <c r="S34" s="49" t="s">
        <v>458</v>
      </c>
      <c r="T34" s="48" t="s">
        <v>425</v>
      </c>
      <c r="U34" s="176">
        <v>46164</v>
      </c>
      <c r="V34" s="211">
        <v>46164</v>
      </c>
      <c r="W34" s="325"/>
      <c r="X34" s="176">
        <v>46177</v>
      </c>
      <c r="Y34" s="1285" t="s">
        <v>478</v>
      </c>
      <c r="Z34" s="3" t="s">
        <v>415</v>
      </c>
      <c r="AA34" s="3" t="s">
        <v>472</v>
      </c>
    </row>
    <row r="35" s="3" customFormat="1" ht="27" hidden="1" customHeight="1" spans="1:28">
      <c r="A35" s="49">
        <f t="shared" si="2"/>
        <v>32</v>
      </c>
      <c r="B35" s="48" t="s">
        <v>465</v>
      </c>
      <c r="C35" s="49" t="s">
        <v>466</v>
      </c>
      <c r="D35" s="50" t="s">
        <v>479</v>
      </c>
      <c r="E35" s="50" t="s">
        <v>480</v>
      </c>
      <c r="F35" s="52">
        <v>46055</v>
      </c>
      <c r="G35" s="52">
        <v>46164</v>
      </c>
      <c r="H35" s="52">
        <v>46164</v>
      </c>
      <c r="I35" s="53">
        <v>46120</v>
      </c>
      <c r="J35" s="175">
        <v>72</v>
      </c>
      <c r="K35" s="175">
        <v>4</v>
      </c>
      <c r="L35" s="49" t="s">
        <v>458</v>
      </c>
      <c r="M35" s="49" t="s">
        <v>81</v>
      </c>
      <c r="N35" s="700" t="s">
        <v>469</v>
      </c>
      <c r="O35" s="49" t="s">
        <v>196</v>
      </c>
      <c r="P35" s="211" t="s">
        <v>459</v>
      </c>
      <c r="Q35" s="176" t="s">
        <v>469</v>
      </c>
      <c r="R35" s="48" t="s">
        <v>460</v>
      </c>
      <c r="S35" s="49" t="s">
        <v>458</v>
      </c>
      <c r="T35" s="48" t="s">
        <v>425</v>
      </c>
      <c r="U35" s="176">
        <v>46164</v>
      </c>
      <c r="V35" s="211">
        <v>46164</v>
      </c>
      <c r="W35" s="325"/>
      <c r="X35" s="176">
        <v>46177</v>
      </c>
      <c r="Y35" s="1285" t="s">
        <v>481</v>
      </c>
      <c r="Z35" s="3" t="s">
        <v>415</v>
      </c>
      <c r="AA35" s="3" t="s">
        <v>472</v>
      </c>
    </row>
    <row r="36" s="3" customFormat="1" ht="27" hidden="1" customHeight="1" spans="1:28">
      <c r="A36" s="49">
        <f t="shared" si="2"/>
        <v>33</v>
      </c>
      <c r="B36" s="48" t="s">
        <v>465</v>
      </c>
      <c r="C36" s="49" t="s">
        <v>466</v>
      </c>
      <c r="D36" s="50" t="s">
        <v>482</v>
      </c>
      <c r="E36" s="50" t="s">
        <v>483</v>
      </c>
      <c r="F36" s="52">
        <v>46055</v>
      </c>
      <c r="G36" s="52">
        <v>46164</v>
      </c>
      <c r="H36" s="52">
        <v>46164</v>
      </c>
      <c r="I36" s="53">
        <v>46120</v>
      </c>
      <c r="J36" s="175">
        <v>64</v>
      </c>
      <c r="K36" s="175">
        <v>4</v>
      </c>
      <c r="L36" s="49" t="s">
        <v>458</v>
      </c>
      <c r="M36" s="49" t="s">
        <v>81</v>
      </c>
      <c r="N36" s="700" t="s">
        <v>469</v>
      </c>
      <c r="O36" s="49" t="s">
        <v>196</v>
      </c>
      <c r="P36" s="211" t="s">
        <v>459</v>
      </c>
      <c r="Q36" s="176" t="s">
        <v>469</v>
      </c>
      <c r="R36" s="48" t="s">
        <v>460</v>
      </c>
      <c r="S36" s="49" t="s">
        <v>458</v>
      </c>
      <c r="T36" s="48" t="s">
        <v>470</v>
      </c>
      <c r="U36" s="176">
        <v>46164</v>
      </c>
      <c r="V36" s="211">
        <v>46164</v>
      </c>
      <c r="W36" s="325"/>
      <c r="X36" s="176">
        <v>46177</v>
      </c>
      <c r="Y36" s="1285" t="s">
        <v>484</v>
      </c>
      <c r="Z36" s="3" t="s">
        <v>415</v>
      </c>
      <c r="AA36" s="3" t="s">
        <v>472</v>
      </c>
    </row>
    <row r="37" s="3" customFormat="1" ht="36.95" hidden="1" customHeight="1" spans="1:28">
      <c r="A37" s="49">
        <f t="shared" si="2"/>
        <v>34</v>
      </c>
      <c r="B37" s="48" t="s">
        <v>485</v>
      </c>
      <c r="C37" s="49" t="s">
        <v>486</v>
      </c>
      <c r="D37" s="50" t="s">
        <v>487</v>
      </c>
      <c r="E37" s="50" t="s">
        <v>488</v>
      </c>
      <c r="F37" s="52">
        <v>46087</v>
      </c>
      <c r="G37" s="52">
        <v>46164</v>
      </c>
      <c r="H37" s="52">
        <v>46164</v>
      </c>
      <c r="I37" s="53">
        <v>46101</v>
      </c>
      <c r="J37" s="175">
        <v>1000</v>
      </c>
      <c r="K37" s="175">
        <v>4</v>
      </c>
      <c r="L37" s="49" t="s">
        <v>458</v>
      </c>
      <c r="M37" s="49" t="s">
        <v>81</v>
      </c>
      <c r="N37" s="700" t="s">
        <v>469</v>
      </c>
      <c r="O37" s="49" t="s">
        <v>81</v>
      </c>
      <c r="P37" s="211" t="s">
        <v>82</v>
      </c>
      <c r="Q37" s="176" t="s">
        <v>469</v>
      </c>
      <c r="R37" s="48" t="s">
        <v>460</v>
      </c>
      <c r="S37" s="49" t="s">
        <v>458</v>
      </c>
      <c r="T37" s="48" t="s">
        <v>489</v>
      </c>
      <c r="U37" s="176">
        <v>46164</v>
      </c>
      <c r="V37" s="211">
        <v>46164</v>
      </c>
      <c r="W37" s="176"/>
      <c r="X37" s="176">
        <v>46184</v>
      </c>
      <c r="Y37" s="48" t="s">
        <v>490</v>
      </c>
      <c r="Z37" s="3" t="s">
        <v>393</v>
      </c>
      <c r="AA37" s="3" t="s">
        <v>472</v>
      </c>
    </row>
    <row r="38" s="3" customFormat="1" ht="27" hidden="1" customHeight="1" spans="1:28">
      <c r="A38" s="49">
        <f t="shared" si="2"/>
        <v>35</v>
      </c>
      <c r="B38" s="48" t="s">
        <v>420</v>
      </c>
      <c r="C38" s="49" t="s">
        <v>421</v>
      </c>
      <c r="D38" s="50" t="s">
        <v>491</v>
      </c>
      <c r="E38" s="50" t="s">
        <v>492</v>
      </c>
      <c r="F38" s="52">
        <v>46093</v>
      </c>
      <c r="G38" s="52">
        <v>46164</v>
      </c>
      <c r="H38" s="52">
        <v>46164</v>
      </c>
      <c r="I38" s="53">
        <v>46129</v>
      </c>
      <c r="J38" s="175">
        <v>584</v>
      </c>
      <c r="K38" s="175">
        <v>4</v>
      </c>
      <c r="L38" s="49" t="s">
        <v>458</v>
      </c>
      <c r="M38" s="49" t="s">
        <v>81</v>
      </c>
      <c r="N38" s="700" t="s">
        <v>469</v>
      </c>
      <c r="O38" s="49" t="s">
        <v>196</v>
      </c>
      <c r="P38" s="211" t="s">
        <v>459</v>
      </c>
      <c r="Q38" s="176" t="s">
        <v>469</v>
      </c>
      <c r="R38" s="48" t="s">
        <v>460</v>
      </c>
      <c r="S38" s="49" t="s">
        <v>458</v>
      </c>
      <c r="T38" s="48" t="s">
        <v>425</v>
      </c>
      <c r="U38" s="176">
        <v>46164</v>
      </c>
      <c r="V38" s="211">
        <v>46164</v>
      </c>
      <c r="W38" s="176"/>
      <c r="X38" s="176">
        <v>46179</v>
      </c>
      <c r="Y38" s="48" t="s">
        <v>493</v>
      </c>
      <c r="Z38" s="3" t="s">
        <v>415</v>
      </c>
      <c r="AA38" s="3" t="s">
        <v>472</v>
      </c>
    </row>
    <row r="39" s="3" customFormat="1" ht="27" hidden="1" customHeight="1" spans="1:28">
      <c r="A39" s="49">
        <f t="shared" si="2"/>
        <v>36</v>
      </c>
      <c r="B39" s="48" t="s">
        <v>420</v>
      </c>
      <c r="C39" s="49" t="s">
        <v>421</v>
      </c>
      <c r="D39" s="50" t="s">
        <v>494</v>
      </c>
      <c r="E39" s="50" t="s">
        <v>495</v>
      </c>
      <c r="F39" s="52">
        <v>46093</v>
      </c>
      <c r="G39" s="52">
        <v>46164</v>
      </c>
      <c r="H39" s="52">
        <v>46164</v>
      </c>
      <c r="I39" s="53">
        <v>46129</v>
      </c>
      <c r="J39" s="175">
        <v>816</v>
      </c>
      <c r="K39" s="175">
        <v>4</v>
      </c>
      <c r="L39" s="49" t="s">
        <v>458</v>
      </c>
      <c r="M39" s="49" t="s">
        <v>81</v>
      </c>
      <c r="N39" s="700" t="s">
        <v>469</v>
      </c>
      <c r="O39" s="49" t="s">
        <v>196</v>
      </c>
      <c r="P39" s="211" t="s">
        <v>459</v>
      </c>
      <c r="Q39" s="176" t="s">
        <v>469</v>
      </c>
      <c r="R39" s="48" t="s">
        <v>460</v>
      </c>
      <c r="S39" s="49" t="s">
        <v>458</v>
      </c>
      <c r="T39" s="48" t="s">
        <v>425</v>
      </c>
      <c r="U39" s="176">
        <v>46164</v>
      </c>
      <c r="V39" s="211">
        <v>46164</v>
      </c>
      <c r="W39" s="325"/>
      <c r="X39" s="176">
        <v>46195</v>
      </c>
      <c r="Y39" s="48" t="s">
        <v>496</v>
      </c>
      <c r="Z39" s="3" t="s">
        <v>415</v>
      </c>
      <c r="AA39" s="3" t="s">
        <v>472</v>
      </c>
    </row>
    <row r="40" s="3" customFormat="1" ht="27" hidden="1" customHeight="1" spans="1:28">
      <c r="A40" s="49">
        <f t="shared" si="2"/>
        <v>37</v>
      </c>
      <c r="B40" s="48" t="s">
        <v>394</v>
      </c>
      <c r="C40" s="49" t="s">
        <v>342</v>
      </c>
      <c r="D40" s="50" t="s">
        <v>497</v>
      </c>
      <c r="E40" s="50" t="s">
        <v>498</v>
      </c>
      <c r="F40" s="52">
        <v>46105</v>
      </c>
      <c r="G40" s="52">
        <v>46177</v>
      </c>
      <c r="H40" s="52">
        <v>46177</v>
      </c>
      <c r="I40" s="53">
        <v>46127</v>
      </c>
      <c r="J40" s="175">
        <v>404</v>
      </c>
      <c r="K40" s="175">
        <v>4</v>
      </c>
      <c r="L40" s="49" t="s">
        <v>499</v>
      </c>
      <c r="M40" s="49" t="s">
        <v>81</v>
      </c>
      <c r="N40" s="305" t="s">
        <v>500</v>
      </c>
      <c r="O40" s="49" t="s">
        <v>81</v>
      </c>
      <c r="P40" s="211" t="s">
        <v>82</v>
      </c>
      <c r="Q40" s="176" t="s">
        <v>469</v>
      </c>
      <c r="R40" s="48" t="s">
        <v>501</v>
      </c>
      <c r="S40" s="48" t="s">
        <v>499</v>
      </c>
      <c r="T40" s="48" t="s">
        <v>399</v>
      </c>
      <c r="U40" s="176">
        <v>46177</v>
      </c>
      <c r="V40" s="211">
        <v>46175</v>
      </c>
      <c r="W40" s="176"/>
      <c r="X40" s="176">
        <v>46207</v>
      </c>
      <c r="Y40" s="48" t="s">
        <v>502</v>
      </c>
      <c r="Z40" s="3" t="s">
        <v>393</v>
      </c>
      <c r="AA40" s="3" t="s">
        <v>503</v>
      </c>
    </row>
    <row r="41" s="3" customFormat="1" ht="27" hidden="1" customHeight="1" spans="1:28">
      <c r="A41" s="49">
        <f t="shared" si="2"/>
        <v>38</v>
      </c>
      <c r="B41" s="48" t="s">
        <v>394</v>
      </c>
      <c r="C41" s="49" t="s">
        <v>342</v>
      </c>
      <c r="D41" s="50" t="s">
        <v>497</v>
      </c>
      <c r="E41" s="50" t="s">
        <v>498</v>
      </c>
      <c r="F41" s="52">
        <v>46105</v>
      </c>
      <c r="G41" s="52">
        <v>46177</v>
      </c>
      <c r="H41" s="52">
        <v>46177</v>
      </c>
      <c r="I41" s="53">
        <v>46127</v>
      </c>
      <c r="J41" s="175">
        <v>252</v>
      </c>
      <c r="K41" s="175">
        <v>4</v>
      </c>
      <c r="L41" s="49" t="s">
        <v>499</v>
      </c>
      <c r="M41" s="49" t="s">
        <v>81</v>
      </c>
      <c r="N41" s="305" t="s">
        <v>500</v>
      </c>
      <c r="O41" s="49" t="s">
        <v>81</v>
      </c>
      <c r="P41" s="211" t="s">
        <v>82</v>
      </c>
      <c r="Q41" s="176" t="s">
        <v>500</v>
      </c>
      <c r="R41" s="48" t="s">
        <v>501</v>
      </c>
      <c r="S41" s="48" t="s">
        <v>499</v>
      </c>
      <c r="T41" s="48" t="s">
        <v>399</v>
      </c>
      <c r="U41" s="176">
        <v>46177</v>
      </c>
      <c r="V41" s="211">
        <v>46175</v>
      </c>
      <c r="W41" s="176"/>
      <c r="X41" s="176">
        <v>46207</v>
      </c>
      <c r="Y41" s="48" t="s">
        <v>504</v>
      </c>
      <c r="Z41" s="3" t="s">
        <v>393</v>
      </c>
      <c r="AA41" s="3" t="s">
        <v>503</v>
      </c>
    </row>
    <row r="42" s="3" customFormat="1" ht="27" hidden="1" customHeight="1" spans="1:28">
      <c r="A42" s="49">
        <f t="shared" si="2"/>
        <v>39</v>
      </c>
      <c r="B42" s="48" t="s">
        <v>420</v>
      </c>
      <c r="C42" s="49" t="s">
        <v>421</v>
      </c>
      <c r="D42" s="50" t="s">
        <v>505</v>
      </c>
      <c r="E42" s="50" t="s">
        <v>506</v>
      </c>
      <c r="F42" s="52">
        <v>46093</v>
      </c>
      <c r="G42" s="52">
        <v>46178</v>
      </c>
      <c r="H42" s="52">
        <v>46178</v>
      </c>
      <c r="I42" s="53">
        <v>46149</v>
      </c>
      <c r="J42" s="175">
        <v>700</v>
      </c>
      <c r="K42" s="175">
        <v>4</v>
      </c>
      <c r="L42" s="49" t="s">
        <v>499</v>
      </c>
      <c r="M42" s="49" t="s">
        <v>81</v>
      </c>
      <c r="N42" s="305" t="s">
        <v>500</v>
      </c>
      <c r="O42" s="49" t="s">
        <v>196</v>
      </c>
      <c r="P42" s="211" t="s">
        <v>155</v>
      </c>
      <c r="Q42" s="176" t="s">
        <v>500</v>
      </c>
      <c r="R42" s="48" t="s">
        <v>507</v>
      </c>
      <c r="S42" s="48" t="s">
        <v>499</v>
      </c>
      <c r="T42" s="48" t="s">
        <v>425</v>
      </c>
      <c r="U42" s="176">
        <v>46178</v>
      </c>
      <c r="V42" s="211">
        <v>46175</v>
      </c>
      <c r="W42" s="176"/>
      <c r="X42" s="176">
        <v>46203</v>
      </c>
      <c r="Y42" s="48" t="s">
        <v>508</v>
      </c>
      <c r="Z42" s="3" t="s">
        <v>415</v>
      </c>
      <c r="AA42" s="3" t="s">
        <v>503</v>
      </c>
    </row>
    <row r="43" s="3" customFormat="1" ht="27" hidden="1" customHeight="1" spans="1:28">
      <c r="A43" s="49">
        <f t="shared" si="2"/>
        <v>40</v>
      </c>
      <c r="B43" s="48" t="s">
        <v>420</v>
      </c>
      <c r="C43" s="49" t="s">
        <v>421</v>
      </c>
      <c r="D43" s="50" t="s">
        <v>509</v>
      </c>
      <c r="E43" s="50" t="s">
        <v>510</v>
      </c>
      <c r="F43" s="52">
        <v>46093</v>
      </c>
      <c r="G43" s="52">
        <v>46185</v>
      </c>
      <c r="H43" s="52">
        <v>46185</v>
      </c>
      <c r="I43" s="53">
        <v>46149</v>
      </c>
      <c r="J43" s="175">
        <v>980</v>
      </c>
      <c r="K43" s="175">
        <v>4</v>
      </c>
      <c r="L43" s="49" t="s">
        <v>499</v>
      </c>
      <c r="M43" s="49" t="s">
        <v>81</v>
      </c>
      <c r="N43" s="305" t="s">
        <v>500</v>
      </c>
      <c r="O43" s="49" t="s">
        <v>196</v>
      </c>
      <c r="P43" s="211" t="s">
        <v>155</v>
      </c>
      <c r="Q43" s="176" t="s">
        <v>500</v>
      </c>
      <c r="R43" s="48" t="s">
        <v>507</v>
      </c>
      <c r="S43" s="48" t="s">
        <v>499</v>
      </c>
      <c r="T43" s="48" t="s">
        <v>425</v>
      </c>
      <c r="U43" s="176">
        <v>46185</v>
      </c>
      <c r="V43" s="211">
        <v>46184</v>
      </c>
      <c r="W43" s="176"/>
      <c r="X43" s="176">
        <v>46212</v>
      </c>
      <c r="Y43" s="48" t="s">
        <v>511</v>
      </c>
      <c r="Z43" s="3" t="s">
        <v>415</v>
      </c>
      <c r="AA43" s="3" t="s">
        <v>503</v>
      </c>
      <c r="AB43" s="193"/>
    </row>
    <row r="44" s="3" customFormat="1" ht="27" hidden="1" customHeight="1" spans="1:28">
      <c r="A44" s="49">
        <f t="shared" si="2"/>
        <v>41</v>
      </c>
      <c r="B44" s="48" t="s">
        <v>383</v>
      </c>
      <c r="C44" s="49" t="s">
        <v>114</v>
      </c>
      <c r="D44" s="51" t="s">
        <v>512</v>
      </c>
      <c r="E44" s="51" t="s">
        <v>513</v>
      </c>
      <c r="F44" s="52">
        <v>46107</v>
      </c>
      <c r="G44" s="52">
        <v>46191</v>
      </c>
      <c r="H44" s="52">
        <v>46191</v>
      </c>
      <c r="I44" s="53">
        <v>46135</v>
      </c>
      <c r="J44" s="175">
        <v>100</v>
      </c>
      <c r="K44" s="175">
        <v>4</v>
      </c>
      <c r="L44" s="914" t="s">
        <v>386</v>
      </c>
      <c r="M44" s="49" t="s">
        <v>81</v>
      </c>
      <c r="N44" s="700" t="s">
        <v>82</v>
      </c>
      <c r="O44" s="49" t="s">
        <v>81</v>
      </c>
      <c r="P44" s="211" t="s">
        <v>82</v>
      </c>
      <c r="Q44" s="211" t="s">
        <v>82</v>
      </c>
      <c r="R44" s="48" t="s">
        <v>514</v>
      </c>
      <c r="S44" s="48" t="s">
        <v>386</v>
      </c>
      <c r="T44" s="48" t="s">
        <v>515</v>
      </c>
      <c r="U44" s="176">
        <v>46191</v>
      </c>
      <c r="V44" s="211">
        <v>46184</v>
      </c>
      <c r="W44" s="176"/>
      <c r="X44" s="176">
        <v>46207</v>
      </c>
      <c r="Y44" s="48" t="s">
        <v>516</v>
      </c>
      <c r="Z44" s="3" t="s">
        <v>393</v>
      </c>
    </row>
    <row r="45" s="3" customFormat="1" ht="27" hidden="1" customHeight="1" spans="1:28">
      <c r="A45" s="49">
        <f t="shared" si="2"/>
        <v>42</v>
      </c>
      <c r="B45" s="48" t="s">
        <v>420</v>
      </c>
      <c r="C45" s="49" t="s">
        <v>421</v>
      </c>
      <c r="D45" s="50" t="s">
        <v>517</v>
      </c>
      <c r="E45" s="50" t="s">
        <v>518</v>
      </c>
      <c r="F45" s="52">
        <v>46093</v>
      </c>
      <c r="G45" s="52">
        <v>46193</v>
      </c>
      <c r="H45" s="52">
        <v>46193</v>
      </c>
      <c r="I45" s="53">
        <v>46149</v>
      </c>
      <c r="J45" s="175">
        <v>700</v>
      </c>
      <c r="K45" s="175">
        <v>4</v>
      </c>
      <c r="L45" s="49" t="s">
        <v>499</v>
      </c>
      <c r="M45" s="49" t="s">
        <v>81</v>
      </c>
      <c r="N45" s="700" t="s">
        <v>519</v>
      </c>
      <c r="O45" s="49" t="s">
        <v>196</v>
      </c>
      <c r="P45" s="211" t="s">
        <v>155</v>
      </c>
      <c r="Q45" s="176" t="s">
        <v>519</v>
      </c>
      <c r="R45" s="48" t="s">
        <v>507</v>
      </c>
      <c r="S45" s="48" t="s">
        <v>499</v>
      </c>
      <c r="T45" s="48" t="s">
        <v>425</v>
      </c>
      <c r="U45" s="176">
        <v>46193</v>
      </c>
      <c r="V45" s="211">
        <v>46184</v>
      </c>
      <c r="W45" s="176"/>
      <c r="X45" s="176">
        <v>46216</v>
      </c>
      <c r="Y45" s="48" t="s">
        <v>520</v>
      </c>
      <c r="Z45" s="3" t="s">
        <v>415</v>
      </c>
      <c r="AA45" s="3" t="s">
        <v>319</v>
      </c>
      <c r="AB45" s="193"/>
    </row>
    <row r="46" s="3" customFormat="1" ht="27" hidden="1" customHeight="1" spans="1:28">
      <c r="A46" s="49">
        <f t="shared" si="2"/>
        <v>43</v>
      </c>
      <c r="B46" s="48" t="s">
        <v>420</v>
      </c>
      <c r="C46" s="49" t="s">
        <v>421</v>
      </c>
      <c r="D46" s="50" t="s">
        <v>521</v>
      </c>
      <c r="E46" s="50" t="s">
        <v>522</v>
      </c>
      <c r="F46" s="52">
        <v>46093</v>
      </c>
      <c r="G46" s="52">
        <v>46200</v>
      </c>
      <c r="H46" s="52">
        <v>46200</v>
      </c>
      <c r="I46" s="53">
        <v>46149</v>
      </c>
      <c r="J46" s="175">
        <v>980</v>
      </c>
      <c r="K46" s="175">
        <v>4</v>
      </c>
      <c r="L46" s="49" t="s">
        <v>499</v>
      </c>
      <c r="M46" s="49" t="s">
        <v>81</v>
      </c>
      <c r="N46" s="700" t="s">
        <v>519</v>
      </c>
      <c r="O46" s="49" t="s">
        <v>196</v>
      </c>
      <c r="P46" s="211" t="s">
        <v>155</v>
      </c>
      <c r="Q46" s="176" t="s">
        <v>519</v>
      </c>
      <c r="R46" s="48" t="s">
        <v>507</v>
      </c>
      <c r="S46" s="48" t="s">
        <v>499</v>
      </c>
      <c r="T46" s="48" t="s">
        <v>425</v>
      </c>
      <c r="U46" s="176">
        <v>46200</v>
      </c>
      <c r="V46" s="211">
        <v>46196</v>
      </c>
      <c r="W46" s="176"/>
      <c r="X46" s="176">
        <v>46221</v>
      </c>
      <c r="Y46" s="48" t="s">
        <v>523</v>
      </c>
      <c r="Z46" s="3" t="s">
        <v>415</v>
      </c>
      <c r="AA46" s="3" t="s">
        <v>319</v>
      </c>
    </row>
    <row r="47" s="3" customFormat="1" ht="27" hidden="1" customHeight="1" spans="1:28">
      <c r="A47" s="49">
        <f t="shared" ref="A47:A62" si="3">ROW()-3</f>
        <v>44</v>
      </c>
      <c r="B47" s="48" t="s">
        <v>394</v>
      </c>
      <c r="C47" s="49" t="s">
        <v>342</v>
      </c>
      <c r="D47" s="50" t="s">
        <v>524</v>
      </c>
      <c r="E47" s="50" t="s">
        <v>525</v>
      </c>
      <c r="F47" s="52">
        <v>46105</v>
      </c>
      <c r="G47" s="52">
        <v>46203</v>
      </c>
      <c r="H47" s="52">
        <v>46203</v>
      </c>
      <c r="I47" s="53">
        <v>46156</v>
      </c>
      <c r="J47" s="175">
        <v>540</v>
      </c>
      <c r="K47" s="175">
        <v>4</v>
      </c>
      <c r="L47" s="49" t="s">
        <v>499</v>
      </c>
      <c r="M47" s="49" t="s">
        <v>81</v>
      </c>
      <c r="N47" s="305" t="s">
        <v>500</v>
      </c>
      <c r="O47" s="49" t="s">
        <v>81</v>
      </c>
      <c r="P47" s="211" t="s">
        <v>82</v>
      </c>
      <c r="Q47" s="176" t="s">
        <v>500</v>
      </c>
      <c r="R47" s="211" t="s">
        <v>526</v>
      </c>
      <c r="S47" s="48" t="s">
        <v>499</v>
      </c>
      <c r="T47" s="48" t="s">
        <v>399</v>
      </c>
      <c r="U47" s="176">
        <v>46203</v>
      </c>
      <c r="V47" s="211">
        <v>46204</v>
      </c>
      <c r="W47" s="176"/>
      <c r="X47" s="176">
        <v>46214</v>
      </c>
      <c r="Y47" s="48" t="s">
        <v>527</v>
      </c>
      <c r="Z47" s="3" t="s">
        <v>393</v>
      </c>
      <c r="AA47" s="3" t="s">
        <v>503</v>
      </c>
    </row>
    <row r="48" s="3" customFormat="1" ht="27" hidden="1" customHeight="1" spans="1:28">
      <c r="A48" s="49">
        <f t="shared" si="3"/>
        <v>45</v>
      </c>
      <c r="B48" s="48" t="s">
        <v>394</v>
      </c>
      <c r="C48" s="49" t="s">
        <v>342</v>
      </c>
      <c r="D48" s="50" t="s">
        <v>524</v>
      </c>
      <c r="E48" s="50" t="s">
        <v>525</v>
      </c>
      <c r="F48" s="52">
        <v>46105</v>
      </c>
      <c r="G48" s="52">
        <v>46203</v>
      </c>
      <c r="H48" s="52">
        <v>46203</v>
      </c>
      <c r="I48" s="53">
        <v>46156</v>
      </c>
      <c r="J48" s="175">
        <v>348</v>
      </c>
      <c r="K48" s="175">
        <v>4</v>
      </c>
      <c r="L48" s="49" t="s">
        <v>499</v>
      </c>
      <c r="M48" s="49" t="s">
        <v>81</v>
      </c>
      <c r="N48" s="305" t="s">
        <v>500</v>
      </c>
      <c r="O48" s="49" t="s">
        <v>81</v>
      </c>
      <c r="P48" s="211" t="s">
        <v>82</v>
      </c>
      <c r="Q48" s="176" t="s">
        <v>500</v>
      </c>
      <c r="R48" s="211" t="s">
        <v>526</v>
      </c>
      <c r="S48" s="48" t="s">
        <v>499</v>
      </c>
      <c r="T48" s="48" t="s">
        <v>399</v>
      </c>
      <c r="U48" s="176">
        <v>46203</v>
      </c>
      <c r="V48" s="211">
        <v>46204</v>
      </c>
      <c r="W48" s="176"/>
      <c r="X48" s="176">
        <v>46214</v>
      </c>
      <c r="Y48" s="48" t="s">
        <v>528</v>
      </c>
      <c r="Z48" s="3" t="s">
        <v>393</v>
      </c>
      <c r="AA48" s="3" t="s">
        <v>503</v>
      </c>
    </row>
    <row r="49" s="3" customFormat="1" ht="27" hidden="1" customHeight="1" spans="1:27">
      <c r="A49" s="49">
        <f t="shared" si="3"/>
        <v>46</v>
      </c>
      <c r="B49" s="48" t="s">
        <v>394</v>
      </c>
      <c r="C49" s="49" t="s">
        <v>342</v>
      </c>
      <c r="D49" s="50" t="s">
        <v>524</v>
      </c>
      <c r="E49" s="50" t="s">
        <v>525</v>
      </c>
      <c r="F49" s="52">
        <v>46105</v>
      </c>
      <c r="G49" s="52">
        <v>46203</v>
      </c>
      <c r="H49" s="52">
        <v>46203</v>
      </c>
      <c r="I49" s="53">
        <v>46156</v>
      </c>
      <c r="J49" s="175">
        <v>468</v>
      </c>
      <c r="K49" s="175">
        <v>4</v>
      </c>
      <c r="L49" s="49" t="s">
        <v>499</v>
      </c>
      <c r="M49" s="49" t="s">
        <v>81</v>
      </c>
      <c r="N49" s="305" t="s">
        <v>500</v>
      </c>
      <c r="O49" s="49" t="s">
        <v>81</v>
      </c>
      <c r="P49" s="211" t="s">
        <v>155</v>
      </c>
      <c r="Q49" s="176" t="s">
        <v>500</v>
      </c>
      <c r="R49" s="211" t="s">
        <v>526</v>
      </c>
      <c r="S49" s="48" t="s">
        <v>499</v>
      </c>
      <c r="T49" s="48" t="s">
        <v>399</v>
      </c>
      <c r="U49" s="176">
        <v>46203</v>
      </c>
      <c r="V49" s="211">
        <v>46204</v>
      </c>
      <c r="W49" s="176"/>
      <c r="X49" s="176">
        <v>46214</v>
      </c>
      <c r="Y49" s="48" t="s">
        <v>529</v>
      </c>
      <c r="Z49" s="3" t="s">
        <v>393</v>
      </c>
      <c r="AA49" s="3" t="s">
        <v>503</v>
      </c>
    </row>
    <row r="50" s="3" customFormat="1" ht="27" hidden="1" customHeight="1" spans="1:27">
      <c r="A50" s="49">
        <f t="shared" si="3"/>
        <v>47</v>
      </c>
      <c r="B50" s="48" t="s">
        <v>394</v>
      </c>
      <c r="C50" s="49" t="s">
        <v>342</v>
      </c>
      <c r="D50" s="50" t="s">
        <v>524</v>
      </c>
      <c r="E50" s="50" t="s">
        <v>525</v>
      </c>
      <c r="F50" s="52">
        <v>46105</v>
      </c>
      <c r="G50" s="52">
        <v>46203</v>
      </c>
      <c r="H50" s="52">
        <v>46203</v>
      </c>
      <c r="I50" s="53">
        <v>46156</v>
      </c>
      <c r="J50" s="175">
        <v>248</v>
      </c>
      <c r="K50" s="175">
        <v>4</v>
      </c>
      <c r="L50" s="49" t="s">
        <v>499</v>
      </c>
      <c r="M50" s="49" t="s">
        <v>81</v>
      </c>
      <c r="N50" s="305" t="s">
        <v>500</v>
      </c>
      <c r="O50" s="49" t="s">
        <v>81</v>
      </c>
      <c r="P50" s="211" t="s">
        <v>155</v>
      </c>
      <c r="Q50" s="176" t="s">
        <v>500</v>
      </c>
      <c r="R50" s="211" t="s">
        <v>526</v>
      </c>
      <c r="S50" s="48" t="s">
        <v>499</v>
      </c>
      <c r="T50" s="48" t="s">
        <v>399</v>
      </c>
      <c r="U50" s="176">
        <v>46203</v>
      </c>
      <c r="V50" s="211">
        <v>46204</v>
      </c>
      <c r="W50" s="176"/>
      <c r="X50" s="176">
        <v>46214</v>
      </c>
      <c r="Y50" s="48" t="s">
        <v>530</v>
      </c>
      <c r="Z50" s="3" t="s">
        <v>393</v>
      </c>
      <c r="AA50" s="3" t="s">
        <v>503</v>
      </c>
    </row>
    <row r="51" s="3" customFormat="1" ht="27" hidden="1" customHeight="1" spans="1:27">
      <c r="A51" s="49">
        <f t="shared" si="3"/>
        <v>48</v>
      </c>
      <c r="B51" s="48" t="s">
        <v>394</v>
      </c>
      <c r="C51" s="49" t="s">
        <v>342</v>
      </c>
      <c r="D51" s="50" t="s">
        <v>524</v>
      </c>
      <c r="E51" s="50" t="s">
        <v>525</v>
      </c>
      <c r="F51" s="52">
        <v>46105</v>
      </c>
      <c r="G51" s="52">
        <v>46203</v>
      </c>
      <c r="H51" s="52">
        <v>46203</v>
      </c>
      <c r="I51" s="53">
        <v>46156</v>
      </c>
      <c r="J51" s="175">
        <v>580</v>
      </c>
      <c r="K51" s="175">
        <v>4</v>
      </c>
      <c r="L51" s="49" t="s">
        <v>499</v>
      </c>
      <c r="M51" s="49" t="s">
        <v>81</v>
      </c>
      <c r="N51" s="305" t="s">
        <v>500</v>
      </c>
      <c r="O51" s="49" t="s">
        <v>81</v>
      </c>
      <c r="P51" s="211" t="s">
        <v>155</v>
      </c>
      <c r="Q51" s="176" t="s">
        <v>500</v>
      </c>
      <c r="R51" s="211" t="s">
        <v>526</v>
      </c>
      <c r="S51" s="48" t="s">
        <v>499</v>
      </c>
      <c r="T51" s="48" t="s">
        <v>399</v>
      </c>
      <c r="U51" s="176">
        <v>46203</v>
      </c>
      <c r="V51" s="211">
        <v>46204</v>
      </c>
      <c r="W51" s="176"/>
      <c r="X51" s="176">
        <v>46214</v>
      </c>
      <c r="Y51" s="48" t="s">
        <v>531</v>
      </c>
      <c r="Z51" s="3" t="s">
        <v>393</v>
      </c>
      <c r="AA51" s="3" t="s">
        <v>503</v>
      </c>
    </row>
    <row r="52" s="3" customFormat="1" ht="27" hidden="1" customHeight="1" spans="1:27">
      <c r="A52" s="49">
        <f t="shared" si="3"/>
        <v>49</v>
      </c>
      <c r="B52" s="48" t="s">
        <v>394</v>
      </c>
      <c r="C52" s="49" t="s">
        <v>342</v>
      </c>
      <c r="D52" s="51" t="s">
        <v>532</v>
      </c>
      <c r="E52" s="51" t="s">
        <v>533</v>
      </c>
      <c r="F52" s="52">
        <v>46129</v>
      </c>
      <c r="G52" s="52">
        <v>46205</v>
      </c>
      <c r="H52" s="52">
        <v>46205</v>
      </c>
      <c r="I52" s="53">
        <v>46156</v>
      </c>
      <c r="J52" s="175">
        <v>452</v>
      </c>
      <c r="K52" s="175">
        <v>4</v>
      </c>
      <c r="L52" s="49" t="s">
        <v>534</v>
      </c>
      <c r="M52" s="49" t="s">
        <v>81</v>
      </c>
      <c r="N52" s="700" t="s">
        <v>519</v>
      </c>
      <c r="O52" s="49" t="s">
        <v>81</v>
      </c>
      <c r="P52" s="211" t="s">
        <v>155</v>
      </c>
      <c r="Q52" s="176" t="s">
        <v>519</v>
      </c>
      <c r="R52" s="48" t="s">
        <v>535</v>
      </c>
      <c r="S52" s="48" t="s">
        <v>534</v>
      </c>
      <c r="T52" s="48" t="s">
        <v>399</v>
      </c>
      <c r="U52" s="176">
        <v>46205</v>
      </c>
      <c r="V52" s="211">
        <v>46213</v>
      </c>
      <c r="W52" s="176"/>
      <c r="X52" s="176">
        <v>46214</v>
      </c>
      <c r="Y52" s="48" t="s">
        <v>536</v>
      </c>
      <c r="Z52" s="3" t="s">
        <v>393</v>
      </c>
      <c r="AA52" s="3" t="s">
        <v>319</v>
      </c>
    </row>
    <row r="53" s="3" customFormat="1" ht="27" hidden="1" customHeight="1" spans="1:27">
      <c r="A53" s="49">
        <f t="shared" si="3"/>
        <v>50</v>
      </c>
      <c r="B53" s="48" t="s">
        <v>394</v>
      </c>
      <c r="C53" s="49" t="s">
        <v>342</v>
      </c>
      <c r="D53" s="51" t="s">
        <v>532</v>
      </c>
      <c r="E53" s="51" t="s">
        <v>533</v>
      </c>
      <c r="F53" s="52">
        <v>46129</v>
      </c>
      <c r="G53" s="52">
        <v>46205</v>
      </c>
      <c r="H53" s="52">
        <v>46205</v>
      </c>
      <c r="I53" s="53">
        <v>46156</v>
      </c>
      <c r="J53" s="175">
        <v>320</v>
      </c>
      <c r="K53" s="175">
        <v>4</v>
      </c>
      <c r="L53" s="49" t="s">
        <v>534</v>
      </c>
      <c r="M53" s="49" t="s">
        <v>81</v>
      </c>
      <c r="N53" s="700" t="s">
        <v>519</v>
      </c>
      <c r="O53" s="49" t="s">
        <v>81</v>
      </c>
      <c r="P53" s="211" t="s">
        <v>155</v>
      </c>
      <c r="Q53" s="176" t="s">
        <v>519</v>
      </c>
      <c r="R53" s="48" t="s">
        <v>535</v>
      </c>
      <c r="S53" s="48" t="s">
        <v>534</v>
      </c>
      <c r="T53" s="48" t="s">
        <v>399</v>
      </c>
      <c r="U53" s="176">
        <v>46205</v>
      </c>
      <c r="V53" s="211">
        <v>46213</v>
      </c>
      <c r="W53" s="176"/>
      <c r="X53" s="176">
        <v>46214</v>
      </c>
      <c r="Y53" s="48" t="s">
        <v>537</v>
      </c>
      <c r="Z53" s="3" t="s">
        <v>393</v>
      </c>
      <c r="AA53" s="3" t="s">
        <v>319</v>
      </c>
    </row>
    <row r="54" s="3" customFormat="1" ht="27" hidden="1" customHeight="1" spans="1:27">
      <c r="A54" s="49">
        <f t="shared" si="3"/>
        <v>51</v>
      </c>
      <c r="B54" s="48" t="s">
        <v>394</v>
      </c>
      <c r="C54" s="49" t="s">
        <v>342</v>
      </c>
      <c r="D54" s="51" t="s">
        <v>532</v>
      </c>
      <c r="E54" s="51" t="s">
        <v>533</v>
      </c>
      <c r="F54" s="52">
        <v>46129</v>
      </c>
      <c r="G54" s="52">
        <v>46205</v>
      </c>
      <c r="H54" s="52">
        <v>46205</v>
      </c>
      <c r="I54" s="53">
        <v>46156</v>
      </c>
      <c r="J54" s="175">
        <v>148</v>
      </c>
      <c r="K54" s="175">
        <v>4</v>
      </c>
      <c r="L54" s="49" t="s">
        <v>534</v>
      </c>
      <c r="M54" s="49" t="s">
        <v>81</v>
      </c>
      <c r="N54" s="700" t="s">
        <v>519</v>
      </c>
      <c r="O54" s="49" t="s">
        <v>81</v>
      </c>
      <c r="P54" s="211" t="s">
        <v>155</v>
      </c>
      <c r="Q54" s="176" t="s">
        <v>519</v>
      </c>
      <c r="R54" s="48" t="s">
        <v>535</v>
      </c>
      <c r="S54" s="48" t="s">
        <v>534</v>
      </c>
      <c r="T54" s="48" t="s">
        <v>399</v>
      </c>
      <c r="U54" s="176">
        <v>46205</v>
      </c>
      <c r="V54" s="211">
        <v>46213</v>
      </c>
      <c r="W54" s="176"/>
      <c r="X54" s="176">
        <v>46214</v>
      </c>
      <c r="Y54" s="48" t="s">
        <v>538</v>
      </c>
      <c r="Z54" s="3" t="s">
        <v>393</v>
      </c>
      <c r="AA54" s="3" t="s">
        <v>319</v>
      </c>
    </row>
    <row r="55" s="3" customFormat="1" ht="27" hidden="1" customHeight="1" spans="1:27">
      <c r="A55" s="49">
        <f t="shared" si="3"/>
        <v>52</v>
      </c>
      <c r="B55" s="48" t="s">
        <v>394</v>
      </c>
      <c r="C55" s="49" t="s">
        <v>342</v>
      </c>
      <c r="D55" s="51" t="s">
        <v>532</v>
      </c>
      <c r="E55" s="51" t="s">
        <v>533</v>
      </c>
      <c r="F55" s="52">
        <v>46129</v>
      </c>
      <c r="G55" s="52">
        <v>46205</v>
      </c>
      <c r="H55" s="52">
        <v>46205</v>
      </c>
      <c r="I55" s="53">
        <v>46156</v>
      </c>
      <c r="J55" s="175">
        <v>132</v>
      </c>
      <c r="K55" s="175">
        <v>4</v>
      </c>
      <c r="L55" s="49" t="s">
        <v>534</v>
      </c>
      <c r="M55" s="49" t="s">
        <v>81</v>
      </c>
      <c r="N55" s="700" t="s">
        <v>519</v>
      </c>
      <c r="O55" s="49" t="s">
        <v>81</v>
      </c>
      <c r="P55" s="211" t="s">
        <v>155</v>
      </c>
      <c r="Q55" s="176" t="s">
        <v>519</v>
      </c>
      <c r="R55" s="48" t="s">
        <v>535</v>
      </c>
      <c r="S55" s="48" t="s">
        <v>534</v>
      </c>
      <c r="T55" s="48" t="s">
        <v>399</v>
      </c>
      <c r="U55" s="176">
        <v>46205</v>
      </c>
      <c r="V55" s="211">
        <v>46213</v>
      </c>
      <c r="W55" s="176"/>
      <c r="X55" s="176">
        <v>46214</v>
      </c>
      <c r="Y55" s="48" t="s">
        <v>539</v>
      </c>
      <c r="Z55" s="3" t="s">
        <v>393</v>
      </c>
      <c r="AA55" s="3" t="s">
        <v>319</v>
      </c>
    </row>
    <row r="56" s="3" customFormat="1" ht="27" hidden="1" customHeight="1" spans="1:27">
      <c r="A56" s="49">
        <f t="shared" si="3"/>
        <v>53</v>
      </c>
      <c r="B56" s="48" t="s">
        <v>394</v>
      </c>
      <c r="C56" s="49" t="s">
        <v>342</v>
      </c>
      <c r="D56" s="51" t="s">
        <v>532</v>
      </c>
      <c r="E56" s="51" t="s">
        <v>533</v>
      </c>
      <c r="F56" s="52">
        <v>46129</v>
      </c>
      <c r="G56" s="52">
        <v>46205</v>
      </c>
      <c r="H56" s="52">
        <v>46205</v>
      </c>
      <c r="I56" s="53">
        <v>46156</v>
      </c>
      <c r="J56" s="175">
        <v>524</v>
      </c>
      <c r="K56" s="175">
        <v>4</v>
      </c>
      <c r="L56" s="49" t="s">
        <v>534</v>
      </c>
      <c r="M56" s="49" t="s">
        <v>81</v>
      </c>
      <c r="N56" s="700" t="s">
        <v>519</v>
      </c>
      <c r="O56" s="49" t="s">
        <v>81</v>
      </c>
      <c r="P56" s="211" t="s">
        <v>155</v>
      </c>
      <c r="Q56" s="176" t="s">
        <v>519</v>
      </c>
      <c r="R56" s="48" t="s">
        <v>535</v>
      </c>
      <c r="S56" s="48" t="s">
        <v>534</v>
      </c>
      <c r="T56" s="48" t="s">
        <v>399</v>
      </c>
      <c r="U56" s="176">
        <v>46205</v>
      </c>
      <c r="V56" s="211">
        <v>46213</v>
      </c>
      <c r="W56" s="176"/>
      <c r="X56" s="176">
        <v>46214</v>
      </c>
      <c r="Y56" s="48" t="s">
        <v>540</v>
      </c>
      <c r="Z56" s="3" t="s">
        <v>393</v>
      </c>
      <c r="AA56" s="3" t="s">
        <v>319</v>
      </c>
    </row>
    <row r="57" s="3" customFormat="1" ht="27" hidden="1" customHeight="1" spans="1:27">
      <c r="A57" s="49">
        <f t="shared" si="3"/>
        <v>54</v>
      </c>
      <c r="B57" s="48" t="s">
        <v>394</v>
      </c>
      <c r="C57" s="49" t="s">
        <v>342</v>
      </c>
      <c r="D57" s="51" t="s">
        <v>532</v>
      </c>
      <c r="E57" s="51" t="s">
        <v>533</v>
      </c>
      <c r="F57" s="52">
        <v>46129</v>
      </c>
      <c r="G57" s="52">
        <v>46205</v>
      </c>
      <c r="H57" s="52">
        <v>46205</v>
      </c>
      <c r="I57" s="53">
        <v>46156</v>
      </c>
      <c r="J57" s="175">
        <v>504</v>
      </c>
      <c r="K57" s="175">
        <v>4</v>
      </c>
      <c r="L57" s="49" t="s">
        <v>534</v>
      </c>
      <c r="M57" s="49" t="s">
        <v>81</v>
      </c>
      <c r="N57" s="700" t="s">
        <v>519</v>
      </c>
      <c r="O57" s="49" t="s">
        <v>81</v>
      </c>
      <c r="P57" s="211" t="s">
        <v>155</v>
      </c>
      <c r="Q57" s="176" t="s">
        <v>519</v>
      </c>
      <c r="R57" s="48" t="s">
        <v>535</v>
      </c>
      <c r="S57" s="48" t="s">
        <v>534</v>
      </c>
      <c r="T57" s="48" t="s">
        <v>399</v>
      </c>
      <c r="U57" s="176">
        <v>46205</v>
      </c>
      <c r="V57" s="211">
        <v>46213</v>
      </c>
      <c r="W57" s="176"/>
      <c r="X57" s="176">
        <v>46214</v>
      </c>
      <c r="Y57" s="48" t="s">
        <v>541</v>
      </c>
      <c r="Z57" s="3" t="s">
        <v>393</v>
      </c>
      <c r="AA57" s="3" t="s">
        <v>319</v>
      </c>
    </row>
    <row r="58" s="3" customFormat="1" ht="27" hidden="1" customHeight="1" spans="1:27">
      <c r="A58" s="49">
        <f t="shared" si="3"/>
        <v>55</v>
      </c>
      <c r="B58" s="48" t="s">
        <v>394</v>
      </c>
      <c r="C58" s="49" t="s">
        <v>342</v>
      </c>
      <c r="D58" s="51" t="s">
        <v>532</v>
      </c>
      <c r="E58" s="51" t="s">
        <v>533</v>
      </c>
      <c r="F58" s="52">
        <v>46129</v>
      </c>
      <c r="G58" s="52">
        <v>46205</v>
      </c>
      <c r="H58" s="52">
        <v>46205</v>
      </c>
      <c r="I58" s="53">
        <v>46156</v>
      </c>
      <c r="J58" s="175">
        <v>200</v>
      </c>
      <c r="K58" s="175">
        <v>4</v>
      </c>
      <c r="L58" s="49" t="s">
        <v>534</v>
      </c>
      <c r="M58" s="49" t="s">
        <v>81</v>
      </c>
      <c r="N58" s="700" t="s">
        <v>519</v>
      </c>
      <c r="O58" s="49" t="s">
        <v>81</v>
      </c>
      <c r="P58" s="211" t="s">
        <v>155</v>
      </c>
      <c r="Q58" s="176" t="s">
        <v>519</v>
      </c>
      <c r="R58" s="48" t="s">
        <v>535</v>
      </c>
      <c r="S58" s="48" t="s">
        <v>534</v>
      </c>
      <c r="T58" s="48" t="s">
        <v>399</v>
      </c>
      <c r="U58" s="176">
        <v>46205</v>
      </c>
      <c r="V58" s="211">
        <v>46213</v>
      </c>
      <c r="W58" s="176"/>
      <c r="X58" s="176">
        <v>46214</v>
      </c>
      <c r="Y58" s="48" t="s">
        <v>542</v>
      </c>
      <c r="Z58" s="3" t="s">
        <v>393</v>
      </c>
      <c r="AA58" s="3" t="s">
        <v>319</v>
      </c>
    </row>
    <row r="59" s="3" customFormat="1" ht="27" hidden="1" customHeight="1" spans="1:27">
      <c r="A59" s="49">
        <f t="shared" si="3"/>
        <v>56</v>
      </c>
      <c r="B59" s="48" t="s">
        <v>394</v>
      </c>
      <c r="C59" s="49" t="s">
        <v>342</v>
      </c>
      <c r="D59" s="51" t="s">
        <v>532</v>
      </c>
      <c r="E59" s="51" t="s">
        <v>533</v>
      </c>
      <c r="F59" s="52">
        <v>46129</v>
      </c>
      <c r="G59" s="52">
        <v>46205</v>
      </c>
      <c r="H59" s="52">
        <v>46205</v>
      </c>
      <c r="I59" s="53">
        <v>46156</v>
      </c>
      <c r="J59" s="175">
        <v>104</v>
      </c>
      <c r="K59" s="175">
        <v>4</v>
      </c>
      <c r="L59" s="49" t="s">
        <v>534</v>
      </c>
      <c r="M59" s="49" t="s">
        <v>81</v>
      </c>
      <c r="N59" s="700" t="s">
        <v>519</v>
      </c>
      <c r="O59" s="49" t="s">
        <v>81</v>
      </c>
      <c r="P59" s="211" t="s">
        <v>155</v>
      </c>
      <c r="Q59" s="176" t="s">
        <v>519</v>
      </c>
      <c r="R59" s="48" t="s">
        <v>535</v>
      </c>
      <c r="S59" s="48" t="s">
        <v>534</v>
      </c>
      <c r="T59" s="48" t="s">
        <v>399</v>
      </c>
      <c r="U59" s="176">
        <v>46205</v>
      </c>
      <c r="V59" s="211">
        <v>46213</v>
      </c>
      <c r="W59" s="176"/>
      <c r="X59" s="176">
        <v>46214</v>
      </c>
      <c r="Y59" s="48" t="s">
        <v>543</v>
      </c>
      <c r="Z59" s="3" t="s">
        <v>393</v>
      </c>
      <c r="AA59" s="3" t="s">
        <v>319</v>
      </c>
    </row>
    <row r="60" s="3" customFormat="1" ht="27" hidden="1" customHeight="1" spans="1:27">
      <c r="A60" s="49">
        <f t="shared" si="3"/>
        <v>57</v>
      </c>
      <c r="B60" s="48" t="s">
        <v>394</v>
      </c>
      <c r="C60" s="49" t="s">
        <v>342</v>
      </c>
      <c r="D60" s="51" t="s">
        <v>532</v>
      </c>
      <c r="E60" s="51" t="s">
        <v>533</v>
      </c>
      <c r="F60" s="52">
        <v>46129</v>
      </c>
      <c r="G60" s="52">
        <v>46205</v>
      </c>
      <c r="H60" s="52">
        <v>46205</v>
      </c>
      <c r="I60" s="53">
        <v>46156</v>
      </c>
      <c r="J60" s="175">
        <v>168</v>
      </c>
      <c r="K60" s="175">
        <v>4</v>
      </c>
      <c r="L60" s="49" t="s">
        <v>534</v>
      </c>
      <c r="M60" s="49" t="s">
        <v>81</v>
      </c>
      <c r="N60" s="700" t="s">
        <v>519</v>
      </c>
      <c r="O60" s="49" t="s">
        <v>81</v>
      </c>
      <c r="P60" s="211" t="s">
        <v>155</v>
      </c>
      <c r="Q60" s="176" t="s">
        <v>519</v>
      </c>
      <c r="R60" s="48" t="s">
        <v>535</v>
      </c>
      <c r="S60" s="48" t="s">
        <v>534</v>
      </c>
      <c r="T60" s="48" t="s">
        <v>399</v>
      </c>
      <c r="U60" s="176">
        <v>46205</v>
      </c>
      <c r="V60" s="211">
        <v>46213</v>
      </c>
      <c r="W60" s="176"/>
      <c r="X60" s="176">
        <v>46214</v>
      </c>
      <c r="Y60" s="48" t="s">
        <v>544</v>
      </c>
      <c r="Z60" s="3" t="s">
        <v>393</v>
      </c>
      <c r="AA60" s="3" t="s">
        <v>319</v>
      </c>
    </row>
    <row r="61" s="3" customFormat="1" ht="27" hidden="1" customHeight="1" spans="1:27">
      <c r="A61" s="49">
        <f t="shared" si="3"/>
        <v>58</v>
      </c>
      <c r="B61" s="48" t="s">
        <v>420</v>
      </c>
      <c r="C61" s="49" t="s">
        <v>421</v>
      </c>
      <c r="D61" s="50" t="s">
        <v>545</v>
      </c>
      <c r="E61" s="50" t="s">
        <v>546</v>
      </c>
      <c r="F61" s="52">
        <v>46093</v>
      </c>
      <c r="G61" s="52">
        <v>46205</v>
      </c>
      <c r="H61" s="52">
        <v>46205</v>
      </c>
      <c r="I61" s="53">
        <v>46176</v>
      </c>
      <c r="J61" s="175">
        <v>820</v>
      </c>
      <c r="K61" s="175">
        <v>4</v>
      </c>
      <c r="L61" s="49" t="s">
        <v>534</v>
      </c>
      <c r="M61" s="49" t="s">
        <v>81</v>
      </c>
      <c r="N61" s="700" t="s">
        <v>519</v>
      </c>
      <c r="O61" s="49" t="s">
        <v>196</v>
      </c>
      <c r="P61" s="211" t="s">
        <v>155</v>
      </c>
      <c r="Q61" s="176" t="s">
        <v>519</v>
      </c>
      <c r="R61" s="48" t="s">
        <v>535</v>
      </c>
      <c r="S61" s="48" t="s">
        <v>534</v>
      </c>
      <c r="T61" s="48" t="s">
        <v>425</v>
      </c>
      <c r="U61" s="176">
        <v>46205</v>
      </c>
      <c r="V61" s="211">
        <v>46213</v>
      </c>
      <c r="W61" s="176"/>
      <c r="X61" s="176">
        <v>46227</v>
      </c>
      <c r="Y61" s="48" t="s">
        <v>547</v>
      </c>
      <c r="Z61" s="3" t="s">
        <v>415</v>
      </c>
      <c r="AA61" s="3" t="s">
        <v>319</v>
      </c>
    </row>
    <row r="62" s="3" customFormat="1" ht="27" hidden="1" customHeight="1" spans="1:27">
      <c r="A62" s="49">
        <f t="shared" si="3"/>
        <v>59</v>
      </c>
      <c r="B62" s="48" t="s">
        <v>420</v>
      </c>
      <c r="C62" s="49" t="s">
        <v>421</v>
      </c>
      <c r="D62" s="50" t="s">
        <v>548</v>
      </c>
      <c r="E62" s="50" t="s">
        <v>549</v>
      </c>
      <c r="F62" s="52">
        <v>46093</v>
      </c>
      <c r="G62" s="52">
        <v>46212</v>
      </c>
      <c r="H62" s="52">
        <v>46212</v>
      </c>
      <c r="I62" s="53">
        <v>46176</v>
      </c>
      <c r="J62" s="175">
        <v>1140</v>
      </c>
      <c r="K62" s="175">
        <v>4</v>
      </c>
      <c r="L62" s="49" t="s">
        <v>534</v>
      </c>
      <c r="M62" s="49" t="s">
        <v>81</v>
      </c>
      <c r="N62" s="700" t="s">
        <v>519</v>
      </c>
      <c r="O62" s="49" t="s">
        <v>196</v>
      </c>
      <c r="P62" s="211" t="s">
        <v>550</v>
      </c>
      <c r="Q62" s="176" t="s">
        <v>519</v>
      </c>
      <c r="R62" s="48" t="s">
        <v>535</v>
      </c>
      <c r="S62" s="48" t="s">
        <v>534</v>
      </c>
      <c r="T62" s="48" t="s">
        <v>425</v>
      </c>
      <c r="U62" s="176">
        <v>46212</v>
      </c>
      <c r="V62" s="211">
        <v>46219</v>
      </c>
      <c r="W62" s="176"/>
      <c r="X62" s="176">
        <v>46228</v>
      </c>
      <c r="Y62" s="48" t="s">
        <v>551</v>
      </c>
      <c r="Z62" s="3" t="s">
        <v>415</v>
      </c>
      <c r="AA62" s="3" t="s">
        <v>319</v>
      </c>
    </row>
    <row r="63" s="3" customFormat="1" ht="27" hidden="1" customHeight="1" spans="1:27">
      <c r="A63" s="49">
        <f t="shared" ref="A63:A69" si="4">ROW()-3</f>
        <v>60</v>
      </c>
      <c r="B63" s="48" t="s">
        <v>420</v>
      </c>
      <c r="C63" s="49" t="s">
        <v>421</v>
      </c>
      <c r="D63" s="50" t="s">
        <v>552</v>
      </c>
      <c r="E63" s="50" t="s">
        <v>553</v>
      </c>
      <c r="F63" s="52">
        <v>46093</v>
      </c>
      <c r="G63" s="52">
        <v>46219</v>
      </c>
      <c r="H63" s="52">
        <v>46219</v>
      </c>
      <c r="I63" s="53">
        <v>46176</v>
      </c>
      <c r="J63" s="175">
        <v>1052</v>
      </c>
      <c r="K63" s="175">
        <v>4</v>
      </c>
      <c r="L63" s="49" t="s">
        <v>554</v>
      </c>
      <c r="M63" s="49" t="s">
        <v>81</v>
      </c>
      <c r="N63" s="700" t="s">
        <v>555</v>
      </c>
      <c r="O63" s="49" t="s">
        <v>196</v>
      </c>
      <c r="P63" s="211" t="s">
        <v>550</v>
      </c>
      <c r="Q63" s="176" t="s">
        <v>556</v>
      </c>
      <c r="R63" s="48" t="s">
        <v>535</v>
      </c>
      <c r="S63" s="48" t="s">
        <v>554</v>
      </c>
      <c r="T63" s="48" t="s">
        <v>425</v>
      </c>
      <c r="U63" s="176">
        <v>46219</v>
      </c>
      <c r="V63" s="211">
        <v>46218</v>
      </c>
      <c r="W63" s="176"/>
      <c r="X63" s="176">
        <v>46239</v>
      </c>
      <c r="Y63" s="48" t="s">
        <v>557</v>
      </c>
      <c r="Z63" s="3" t="s">
        <v>415</v>
      </c>
      <c r="AA63" s="3" t="s">
        <v>558</v>
      </c>
    </row>
    <row r="64" s="3" customFormat="1" ht="27" hidden="1" customHeight="1" spans="1:27">
      <c r="A64" s="49">
        <f t="shared" si="4"/>
        <v>61</v>
      </c>
      <c r="B64" s="48" t="s">
        <v>383</v>
      </c>
      <c r="C64" s="49" t="s">
        <v>114</v>
      </c>
      <c r="D64" s="50" t="s">
        <v>559</v>
      </c>
      <c r="E64" s="50" t="s">
        <v>560</v>
      </c>
      <c r="F64" s="52">
        <v>46107</v>
      </c>
      <c r="G64" s="52">
        <v>46219</v>
      </c>
      <c r="H64" s="52">
        <v>46219</v>
      </c>
      <c r="I64" s="53">
        <v>46169</v>
      </c>
      <c r="J64" s="175">
        <v>100</v>
      </c>
      <c r="K64" s="175">
        <v>4</v>
      </c>
      <c r="L64" s="49" t="s">
        <v>554</v>
      </c>
      <c r="M64" s="49" t="s">
        <v>81</v>
      </c>
      <c r="N64" s="700" t="s">
        <v>519</v>
      </c>
      <c r="O64" s="49" t="s">
        <v>81</v>
      </c>
      <c r="P64" s="211" t="s">
        <v>550</v>
      </c>
      <c r="Q64" s="176" t="s">
        <v>519</v>
      </c>
      <c r="R64" s="48" t="s">
        <v>561</v>
      </c>
      <c r="S64" s="48" t="s">
        <v>554</v>
      </c>
      <c r="T64" s="48" t="s">
        <v>515</v>
      </c>
      <c r="U64" s="176">
        <v>46219</v>
      </c>
      <c r="V64" s="211">
        <v>46218</v>
      </c>
      <c r="W64" s="176"/>
      <c r="X64" s="176">
        <v>46247</v>
      </c>
      <c r="Y64" s="48" t="s">
        <v>562</v>
      </c>
      <c r="Z64" s="3" t="s">
        <v>393</v>
      </c>
      <c r="AA64" s="3" t="s">
        <v>319</v>
      </c>
    </row>
    <row r="65" s="3" customFormat="1" ht="27" hidden="1" customHeight="1" spans="1:27">
      <c r="A65" s="49">
        <f t="shared" si="4"/>
        <v>62</v>
      </c>
      <c r="B65" s="48" t="s">
        <v>420</v>
      </c>
      <c r="C65" s="49" t="s">
        <v>421</v>
      </c>
      <c r="D65" s="50" t="s">
        <v>563</v>
      </c>
      <c r="E65" s="50" t="s">
        <v>564</v>
      </c>
      <c r="F65" s="52">
        <v>46093</v>
      </c>
      <c r="G65" s="52">
        <v>46219</v>
      </c>
      <c r="H65" s="52">
        <v>46219</v>
      </c>
      <c r="I65" s="53">
        <v>46176</v>
      </c>
      <c r="J65" s="175">
        <v>1468</v>
      </c>
      <c r="K65" s="175">
        <v>4</v>
      </c>
      <c r="L65" s="49" t="s">
        <v>554</v>
      </c>
      <c r="M65" s="49" t="s">
        <v>81</v>
      </c>
      <c r="N65" s="700" t="s">
        <v>555</v>
      </c>
      <c r="O65" s="49" t="s">
        <v>196</v>
      </c>
      <c r="P65" s="211" t="s">
        <v>550</v>
      </c>
      <c r="Q65" s="176" t="s">
        <v>556</v>
      </c>
      <c r="R65" s="48" t="s">
        <v>535</v>
      </c>
      <c r="S65" s="48" t="s">
        <v>554</v>
      </c>
      <c r="T65" s="48" t="s">
        <v>425</v>
      </c>
      <c r="U65" s="176">
        <v>46219</v>
      </c>
      <c r="V65" s="211">
        <v>46225</v>
      </c>
      <c r="W65" s="176"/>
      <c r="X65" s="176">
        <v>46251</v>
      </c>
      <c r="Y65" s="48" t="s">
        <v>565</v>
      </c>
      <c r="Z65" s="3" t="s">
        <v>415</v>
      </c>
      <c r="AA65" s="3" t="s">
        <v>558</v>
      </c>
    </row>
    <row r="66" s="3" customFormat="1" ht="27" hidden="1" customHeight="1" spans="1:27">
      <c r="A66" s="49">
        <f t="shared" si="4"/>
        <v>63</v>
      </c>
      <c r="B66" s="48" t="s">
        <v>566</v>
      </c>
      <c r="C66" s="49" t="s">
        <v>296</v>
      </c>
      <c r="D66" s="50" t="s">
        <v>567</v>
      </c>
      <c r="E66" s="50" t="s">
        <v>568</v>
      </c>
      <c r="F66" s="52">
        <v>46153</v>
      </c>
      <c r="G66" s="52">
        <v>46226</v>
      </c>
      <c r="H66" s="52">
        <v>46226</v>
      </c>
      <c r="I66" s="53">
        <v>46164</v>
      </c>
      <c r="J66" s="175">
        <v>656</v>
      </c>
      <c r="K66" s="175">
        <v>4</v>
      </c>
      <c r="L66" s="49" t="s">
        <v>554</v>
      </c>
      <c r="M66" s="49" t="s">
        <v>81</v>
      </c>
      <c r="N66" s="700" t="s">
        <v>555</v>
      </c>
      <c r="O66" s="49" t="s">
        <v>196</v>
      </c>
      <c r="P66" s="211" t="s">
        <v>550</v>
      </c>
      <c r="Q66" s="176" t="s">
        <v>556</v>
      </c>
      <c r="R66" s="48" t="s">
        <v>561</v>
      </c>
      <c r="S66" s="48" t="s">
        <v>554</v>
      </c>
      <c r="T66" s="48" t="s">
        <v>470</v>
      </c>
      <c r="U66" s="176">
        <v>46228</v>
      </c>
      <c r="V66" s="211">
        <v>46225</v>
      </c>
      <c r="W66" s="176"/>
      <c r="X66" s="176">
        <v>46252</v>
      </c>
      <c r="Y66" s="48" t="s">
        <v>569</v>
      </c>
      <c r="Z66" s="3" t="s">
        <v>415</v>
      </c>
      <c r="AA66" s="3" t="s">
        <v>558</v>
      </c>
    </row>
    <row r="67" s="3" customFormat="1" ht="27" hidden="1" customHeight="1" spans="1:27">
      <c r="A67" s="49">
        <f t="shared" si="4"/>
        <v>64</v>
      </c>
      <c r="B67" s="48" t="s">
        <v>570</v>
      </c>
      <c r="C67" s="49" t="s">
        <v>342</v>
      </c>
      <c r="D67" s="50" t="s">
        <v>571</v>
      </c>
      <c r="E67" s="50" t="s">
        <v>572</v>
      </c>
      <c r="F67" s="52">
        <v>46150</v>
      </c>
      <c r="G67" s="52">
        <v>46227</v>
      </c>
      <c r="H67" s="52">
        <v>46227</v>
      </c>
      <c r="I67" s="53">
        <v>46176</v>
      </c>
      <c r="J67" s="175">
        <v>200</v>
      </c>
      <c r="K67" s="175">
        <v>4</v>
      </c>
      <c r="L67" s="49" t="s">
        <v>554</v>
      </c>
      <c r="M67" s="49" t="s">
        <v>81</v>
      </c>
      <c r="N67" s="700" t="s">
        <v>555</v>
      </c>
      <c r="O67" s="49" t="s">
        <v>81</v>
      </c>
      <c r="P67" s="211" t="s">
        <v>550</v>
      </c>
      <c r="Q67" s="176" t="s">
        <v>556</v>
      </c>
      <c r="R67" s="48" t="s">
        <v>561</v>
      </c>
      <c r="S67" s="48" t="s">
        <v>554</v>
      </c>
      <c r="T67" s="48" t="s">
        <v>573</v>
      </c>
      <c r="U67" s="176">
        <v>46227</v>
      </c>
      <c r="V67" s="211">
        <v>46225</v>
      </c>
      <c r="W67" s="176"/>
      <c r="X67" s="176">
        <v>46244</v>
      </c>
      <c r="Y67" s="48" t="s">
        <v>574</v>
      </c>
      <c r="Z67" s="3" t="s">
        <v>393</v>
      </c>
      <c r="AA67" s="3" t="s">
        <v>558</v>
      </c>
    </row>
    <row r="68" s="3" customFormat="1" ht="27" hidden="1" customHeight="1" spans="1:27">
      <c r="A68" s="96">
        <f t="shared" si="4"/>
        <v>65</v>
      </c>
      <c r="B68" s="183" t="s">
        <v>575</v>
      </c>
      <c r="C68" s="96"/>
      <c r="D68" s="216"/>
      <c r="E68" s="216"/>
      <c r="F68" s="217">
        <v>46164</v>
      </c>
      <c r="G68" s="217">
        <v>46231</v>
      </c>
      <c r="H68" s="217">
        <v>46231</v>
      </c>
      <c r="I68" s="218"/>
      <c r="J68" s="95">
        <v>8</v>
      </c>
      <c r="K68" s="95">
        <v>4</v>
      </c>
      <c r="L68" s="219" t="s">
        <v>554</v>
      </c>
      <c r="M68" s="219" t="s">
        <v>81</v>
      </c>
      <c r="N68" s="1185" t="s">
        <v>555</v>
      </c>
      <c r="O68" s="96" t="s">
        <v>196</v>
      </c>
      <c r="P68" s="279" t="s">
        <v>550</v>
      </c>
      <c r="Q68" s="97" t="s">
        <v>556</v>
      </c>
      <c r="R68" s="183" t="s">
        <v>82</v>
      </c>
      <c r="S68" s="183" t="s">
        <v>554</v>
      </c>
      <c r="T68" s="183" t="s">
        <v>470</v>
      </c>
      <c r="U68" s="97"/>
      <c r="V68" s="222"/>
      <c r="W68" s="97"/>
      <c r="X68" s="97" t="s">
        <v>576</v>
      </c>
      <c r="Y68" s="183"/>
      <c r="Z68" s="3" t="s">
        <v>415</v>
      </c>
      <c r="AA68" s="3" t="s">
        <v>558</v>
      </c>
    </row>
    <row r="69" s="3" customFormat="1" ht="27" hidden="1" customHeight="1" spans="1:27">
      <c r="A69" s="49">
        <f t="shared" si="4"/>
        <v>66</v>
      </c>
      <c r="B69" s="48" t="s">
        <v>577</v>
      </c>
      <c r="C69" s="49" t="s">
        <v>578</v>
      </c>
      <c r="D69" s="50" t="s">
        <v>579</v>
      </c>
      <c r="E69" s="50" t="s">
        <v>580</v>
      </c>
      <c r="F69" s="52">
        <v>46128</v>
      </c>
      <c r="G69" s="52">
        <v>46200</v>
      </c>
      <c r="H69" s="52">
        <v>46200</v>
      </c>
      <c r="I69" s="53">
        <v>46191</v>
      </c>
      <c r="J69" s="175">
        <v>1236</v>
      </c>
      <c r="K69" s="175">
        <v>4</v>
      </c>
      <c r="L69" s="49" t="s">
        <v>581</v>
      </c>
      <c r="M69" s="49" t="s">
        <v>81</v>
      </c>
      <c r="N69" s="700" t="s">
        <v>519</v>
      </c>
      <c r="O69" s="49" t="s">
        <v>196</v>
      </c>
      <c r="P69" s="211" t="s">
        <v>155</v>
      </c>
      <c r="Q69" s="176" t="s">
        <v>519</v>
      </c>
      <c r="R69" s="48" t="s">
        <v>582</v>
      </c>
      <c r="S69" s="48" t="s">
        <v>581</v>
      </c>
      <c r="T69" s="48" t="s">
        <v>583</v>
      </c>
      <c r="U69" s="176">
        <v>46216</v>
      </c>
      <c r="V69" s="211">
        <v>46248</v>
      </c>
      <c r="W69" s="308"/>
      <c r="X69" s="176">
        <v>46269</v>
      </c>
      <c r="Y69" s="48" t="s">
        <v>584</v>
      </c>
      <c r="Z69" s="3" t="s">
        <v>415</v>
      </c>
      <c r="AA69" s="3" t="s">
        <v>319</v>
      </c>
    </row>
    <row r="70" s="3" customFormat="1" ht="27" hidden="1" customHeight="1" spans="1:27">
      <c r="A70" s="49">
        <f t="shared" ref="A70:A92" si="5">ROW()-3</f>
        <v>67</v>
      </c>
      <c r="B70" s="48" t="s">
        <v>420</v>
      </c>
      <c r="C70" s="49" t="s">
        <v>421</v>
      </c>
      <c r="D70" s="50" t="s">
        <v>585</v>
      </c>
      <c r="E70" s="50" t="s">
        <v>586</v>
      </c>
      <c r="F70" s="52">
        <v>46093</v>
      </c>
      <c r="G70" s="52">
        <v>46234</v>
      </c>
      <c r="H70" s="52">
        <v>46234</v>
      </c>
      <c r="I70" s="53">
        <v>46204</v>
      </c>
      <c r="J70" s="175">
        <v>1868</v>
      </c>
      <c r="K70" s="175">
        <v>4</v>
      </c>
      <c r="L70" s="49" t="s">
        <v>554</v>
      </c>
      <c r="M70" s="49" t="s">
        <v>81</v>
      </c>
      <c r="N70" s="700" t="s">
        <v>555</v>
      </c>
      <c r="O70" s="49" t="s">
        <v>196</v>
      </c>
      <c r="P70" s="211" t="s">
        <v>550</v>
      </c>
      <c r="Q70" s="176" t="s">
        <v>556</v>
      </c>
      <c r="R70" s="48" t="s">
        <v>587</v>
      </c>
      <c r="S70" s="48" t="s">
        <v>554</v>
      </c>
      <c r="T70" s="48" t="s">
        <v>425</v>
      </c>
      <c r="U70" s="176">
        <v>46238</v>
      </c>
      <c r="V70" s="211">
        <v>46238</v>
      </c>
      <c r="W70" s="176"/>
      <c r="X70" s="176">
        <v>46252</v>
      </c>
      <c r="Y70" s="48" t="s">
        <v>588</v>
      </c>
      <c r="Z70" s="3" t="s">
        <v>415</v>
      </c>
      <c r="AA70" s="3" t="s">
        <v>558</v>
      </c>
    </row>
    <row r="71" s="3" customFormat="1" ht="27" hidden="1" customHeight="1" spans="1:27">
      <c r="A71" s="49">
        <f t="shared" si="5"/>
        <v>68</v>
      </c>
      <c r="B71" s="48" t="s">
        <v>394</v>
      </c>
      <c r="C71" s="49" t="s">
        <v>342</v>
      </c>
      <c r="D71" s="50" t="s">
        <v>589</v>
      </c>
      <c r="E71" s="50" t="s">
        <v>590</v>
      </c>
      <c r="F71" s="52">
        <v>46105</v>
      </c>
      <c r="G71" s="52">
        <v>46238</v>
      </c>
      <c r="H71" s="52">
        <v>46238</v>
      </c>
      <c r="I71" s="53">
        <v>46185</v>
      </c>
      <c r="J71" s="175">
        <v>348</v>
      </c>
      <c r="K71" s="175">
        <v>4</v>
      </c>
      <c r="L71" s="49" t="s">
        <v>581</v>
      </c>
      <c r="M71" s="49" t="s">
        <v>81</v>
      </c>
      <c r="N71" s="305" t="s">
        <v>500</v>
      </c>
      <c r="O71" s="49" t="s">
        <v>81</v>
      </c>
      <c r="P71" s="211" t="s">
        <v>550</v>
      </c>
      <c r="Q71" s="176" t="s">
        <v>500</v>
      </c>
      <c r="R71" s="48" t="s">
        <v>591</v>
      </c>
      <c r="S71" s="49" t="s">
        <v>581</v>
      </c>
      <c r="T71" s="48" t="s">
        <v>399</v>
      </c>
      <c r="U71" s="176">
        <v>46238</v>
      </c>
      <c r="V71" s="211">
        <v>46240</v>
      </c>
      <c r="W71" s="176"/>
      <c r="X71" s="176">
        <v>46249</v>
      </c>
      <c r="Y71" s="48" t="s">
        <v>592</v>
      </c>
      <c r="Z71" s="3" t="s">
        <v>393</v>
      </c>
      <c r="AA71" s="3" t="s">
        <v>503</v>
      </c>
    </row>
    <row r="72" s="3" customFormat="1" ht="27" hidden="1" customHeight="1" spans="1:27">
      <c r="A72" s="49">
        <f t="shared" si="5"/>
        <v>69</v>
      </c>
      <c r="B72" s="48" t="s">
        <v>394</v>
      </c>
      <c r="C72" s="49" t="s">
        <v>342</v>
      </c>
      <c r="D72" s="50" t="s">
        <v>589</v>
      </c>
      <c r="E72" s="50" t="s">
        <v>590</v>
      </c>
      <c r="F72" s="52">
        <v>46105</v>
      </c>
      <c r="G72" s="52">
        <v>46238</v>
      </c>
      <c r="H72" s="52">
        <v>46238</v>
      </c>
      <c r="I72" s="53">
        <v>46185</v>
      </c>
      <c r="J72" s="175">
        <v>396</v>
      </c>
      <c r="K72" s="175">
        <v>4</v>
      </c>
      <c r="L72" s="49" t="s">
        <v>581</v>
      </c>
      <c r="M72" s="49" t="s">
        <v>81</v>
      </c>
      <c r="N72" s="305" t="s">
        <v>500</v>
      </c>
      <c r="O72" s="49" t="s">
        <v>81</v>
      </c>
      <c r="P72" s="211" t="s">
        <v>550</v>
      </c>
      <c r="Q72" s="176" t="s">
        <v>500</v>
      </c>
      <c r="R72" s="48" t="s">
        <v>591</v>
      </c>
      <c r="S72" s="49" t="s">
        <v>581</v>
      </c>
      <c r="T72" s="48" t="s">
        <v>399</v>
      </c>
      <c r="U72" s="176">
        <v>46238</v>
      </c>
      <c r="V72" s="211">
        <v>46240</v>
      </c>
      <c r="W72" s="176"/>
      <c r="X72" s="176">
        <v>46249</v>
      </c>
      <c r="Y72" s="48" t="s">
        <v>593</v>
      </c>
      <c r="Z72" s="3" t="s">
        <v>393</v>
      </c>
      <c r="AA72" s="3" t="s">
        <v>503</v>
      </c>
    </row>
    <row r="73" s="3" customFormat="1" ht="27" hidden="1" customHeight="1" spans="1:27">
      <c r="A73" s="49">
        <f t="shared" si="5"/>
        <v>70</v>
      </c>
      <c r="B73" s="48" t="s">
        <v>394</v>
      </c>
      <c r="C73" s="49" t="s">
        <v>342</v>
      </c>
      <c r="D73" s="50" t="s">
        <v>589</v>
      </c>
      <c r="E73" s="50" t="s">
        <v>590</v>
      </c>
      <c r="F73" s="52">
        <v>46105</v>
      </c>
      <c r="G73" s="52">
        <v>46238</v>
      </c>
      <c r="H73" s="52">
        <v>46238</v>
      </c>
      <c r="I73" s="53">
        <v>46185</v>
      </c>
      <c r="J73" s="175">
        <v>784</v>
      </c>
      <c r="K73" s="175">
        <v>4</v>
      </c>
      <c r="L73" s="49" t="s">
        <v>581</v>
      </c>
      <c r="M73" s="49" t="s">
        <v>81</v>
      </c>
      <c r="N73" s="305" t="s">
        <v>500</v>
      </c>
      <c r="O73" s="49" t="s">
        <v>81</v>
      </c>
      <c r="P73" s="211" t="s">
        <v>550</v>
      </c>
      <c r="Q73" s="176" t="s">
        <v>500</v>
      </c>
      <c r="R73" s="48" t="s">
        <v>591</v>
      </c>
      <c r="S73" s="49" t="s">
        <v>581</v>
      </c>
      <c r="T73" s="48" t="s">
        <v>399</v>
      </c>
      <c r="U73" s="176">
        <v>46238</v>
      </c>
      <c r="V73" s="211">
        <v>46240</v>
      </c>
      <c r="W73" s="176"/>
      <c r="X73" s="176">
        <v>46249</v>
      </c>
      <c r="Y73" s="48" t="s">
        <v>594</v>
      </c>
      <c r="Z73" s="3" t="s">
        <v>393</v>
      </c>
      <c r="AA73" s="3" t="s">
        <v>503</v>
      </c>
    </row>
    <row r="74" s="3" customFormat="1" ht="27" hidden="1" customHeight="1" spans="1:27">
      <c r="A74" s="49">
        <f t="shared" si="5"/>
        <v>71</v>
      </c>
      <c r="B74" s="48" t="s">
        <v>394</v>
      </c>
      <c r="C74" s="49" t="s">
        <v>342</v>
      </c>
      <c r="D74" s="50" t="s">
        <v>589</v>
      </c>
      <c r="E74" s="50" t="s">
        <v>590</v>
      </c>
      <c r="F74" s="52">
        <v>46129</v>
      </c>
      <c r="G74" s="52">
        <v>46239</v>
      </c>
      <c r="H74" s="52">
        <v>46239</v>
      </c>
      <c r="I74" s="53">
        <v>46185</v>
      </c>
      <c r="J74" s="175">
        <v>176</v>
      </c>
      <c r="K74" s="175">
        <v>4</v>
      </c>
      <c r="L74" s="49" t="s">
        <v>581</v>
      </c>
      <c r="M74" s="49" t="s">
        <v>81</v>
      </c>
      <c r="N74" s="700" t="s">
        <v>519</v>
      </c>
      <c r="O74" s="49" t="s">
        <v>81</v>
      </c>
      <c r="P74" s="211" t="s">
        <v>550</v>
      </c>
      <c r="Q74" s="176" t="s">
        <v>519</v>
      </c>
      <c r="R74" s="48" t="s">
        <v>591</v>
      </c>
      <c r="S74" s="49" t="s">
        <v>581</v>
      </c>
      <c r="T74" s="48" t="s">
        <v>399</v>
      </c>
      <c r="U74" s="176">
        <v>46239</v>
      </c>
      <c r="V74" s="211">
        <v>46246</v>
      </c>
      <c r="W74" s="176"/>
      <c r="X74" s="176">
        <v>46249</v>
      </c>
      <c r="Y74" s="48" t="s">
        <v>595</v>
      </c>
      <c r="Z74" s="3" t="s">
        <v>393</v>
      </c>
      <c r="AA74" s="3" t="s">
        <v>319</v>
      </c>
    </row>
    <row r="75" s="3" customFormat="1" ht="27" hidden="1" customHeight="1" spans="1:27">
      <c r="A75" s="49">
        <f t="shared" si="5"/>
        <v>72</v>
      </c>
      <c r="B75" s="48" t="s">
        <v>394</v>
      </c>
      <c r="C75" s="49" t="s">
        <v>342</v>
      </c>
      <c r="D75" s="50" t="s">
        <v>589</v>
      </c>
      <c r="E75" s="50" t="s">
        <v>590</v>
      </c>
      <c r="F75" s="52">
        <v>46129</v>
      </c>
      <c r="G75" s="52">
        <v>46239</v>
      </c>
      <c r="H75" s="52">
        <v>46239</v>
      </c>
      <c r="I75" s="53">
        <v>46185</v>
      </c>
      <c r="J75" s="175">
        <v>264</v>
      </c>
      <c r="K75" s="175">
        <v>4</v>
      </c>
      <c r="L75" s="49" t="s">
        <v>581</v>
      </c>
      <c r="M75" s="49" t="s">
        <v>81</v>
      </c>
      <c r="N75" s="700" t="s">
        <v>519</v>
      </c>
      <c r="O75" s="49" t="s">
        <v>81</v>
      </c>
      <c r="P75" s="211" t="s">
        <v>550</v>
      </c>
      <c r="Q75" s="176" t="s">
        <v>519</v>
      </c>
      <c r="R75" s="48" t="s">
        <v>591</v>
      </c>
      <c r="S75" s="49" t="s">
        <v>581</v>
      </c>
      <c r="T75" s="48" t="s">
        <v>399</v>
      </c>
      <c r="U75" s="176">
        <v>46239</v>
      </c>
      <c r="V75" s="211">
        <v>46246</v>
      </c>
      <c r="W75" s="176"/>
      <c r="X75" s="176">
        <v>46249</v>
      </c>
      <c r="Y75" s="48" t="s">
        <v>596</v>
      </c>
      <c r="Z75" s="3" t="s">
        <v>393</v>
      </c>
      <c r="AA75" s="3" t="s">
        <v>319</v>
      </c>
    </row>
    <row r="76" s="3" customFormat="1" ht="27" hidden="1" customHeight="1" spans="1:27">
      <c r="A76" s="49">
        <f t="shared" si="5"/>
        <v>73</v>
      </c>
      <c r="B76" s="48" t="s">
        <v>394</v>
      </c>
      <c r="C76" s="49" t="s">
        <v>342</v>
      </c>
      <c r="D76" s="50" t="s">
        <v>589</v>
      </c>
      <c r="E76" s="50" t="s">
        <v>590</v>
      </c>
      <c r="F76" s="52">
        <v>46129</v>
      </c>
      <c r="G76" s="52">
        <v>46239</v>
      </c>
      <c r="H76" s="52">
        <v>46239</v>
      </c>
      <c r="I76" s="53">
        <v>46185</v>
      </c>
      <c r="J76" s="175">
        <v>284</v>
      </c>
      <c r="K76" s="175">
        <v>4</v>
      </c>
      <c r="L76" s="49" t="s">
        <v>581</v>
      </c>
      <c r="M76" s="49" t="s">
        <v>81</v>
      </c>
      <c r="N76" s="700" t="s">
        <v>519</v>
      </c>
      <c r="O76" s="49" t="s">
        <v>81</v>
      </c>
      <c r="P76" s="211" t="s">
        <v>550</v>
      </c>
      <c r="Q76" s="176" t="s">
        <v>519</v>
      </c>
      <c r="R76" s="48" t="s">
        <v>591</v>
      </c>
      <c r="S76" s="49" t="s">
        <v>581</v>
      </c>
      <c r="T76" s="48" t="s">
        <v>399</v>
      </c>
      <c r="U76" s="176">
        <v>46239</v>
      </c>
      <c r="V76" s="211">
        <v>46246</v>
      </c>
      <c r="W76" s="176"/>
      <c r="X76" s="176">
        <v>46249</v>
      </c>
      <c r="Y76" s="48" t="s">
        <v>597</v>
      </c>
      <c r="Z76" s="3" t="s">
        <v>393</v>
      </c>
      <c r="AA76" s="3" t="s">
        <v>319</v>
      </c>
    </row>
    <row r="77" s="3" customFormat="1" ht="27" hidden="1" customHeight="1" spans="1:27">
      <c r="A77" s="49">
        <f t="shared" si="5"/>
        <v>74</v>
      </c>
      <c r="B77" s="48" t="s">
        <v>394</v>
      </c>
      <c r="C77" s="49" t="s">
        <v>342</v>
      </c>
      <c r="D77" s="50" t="s">
        <v>589</v>
      </c>
      <c r="E77" s="50" t="s">
        <v>590</v>
      </c>
      <c r="F77" s="52">
        <v>46129</v>
      </c>
      <c r="G77" s="52">
        <v>46239</v>
      </c>
      <c r="H77" s="52">
        <v>46239</v>
      </c>
      <c r="I77" s="53">
        <v>46185</v>
      </c>
      <c r="J77" s="175">
        <v>316</v>
      </c>
      <c r="K77" s="175">
        <v>4</v>
      </c>
      <c r="L77" s="49" t="s">
        <v>581</v>
      </c>
      <c r="M77" s="49" t="s">
        <v>81</v>
      </c>
      <c r="N77" s="700" t="s">
        <v>519</v>
      </c>
      <c r="O77" s="49" t="s">
        <v>81</v>
      </c>
      <c r="P77" s="211" t="s">
        <v>550</v>
      </c>
      <c r="Q77" s="176" t="s">
        <v>519</v>
      </c>
      <c r="R77" s="48" t="s">
        <v>591</v>
      </c>
      <c r="S77" s="49" t="s">
        <v>581</v>
      </c>
      <c r="T77" s="48" t="s">
        <v>399</v>
      </c>
      <c r="U77" s="176">
        <v>46239</v>
      </c>
      <c r="V77" s="211">
        <v>46246</v>
      </c>
      <c r="W77" s="176"/>
      <c r="X77" s="176">
        <v>46249</v>
      </c>
      <c r="Y77" s="48" t="s">
        <v>598</v>
      </c>
      <c r="Z77" s="3" t="s">
        <v>393</v>
      </c>
      <c r="AA77" s="3" t="s">
        <v>319</v>
      </c>
    </row>
    <row r="78" s="3" customFormat="1" ht="27" hidden="1" customHeight="1" spans="1:27">
      <c r="A78" s="49">
        <f t="shared" si="5"/>
        <v>75</v>
      </c>
      <c r="B78" s="48" t="s">
        <v>394</v>
      </c>
      <c r="C78" s="49" t="s">
        <v>342</v>
      </c>
      <c r="D78" s="50" t="s">
        <v>589</v>
      </c>
      <c r="E78" s="50" t="s">
        <v>590</v>
      </c>
      <c r="F78" s="52">
        <v>46129</v>
      </c>
      <c r="G78" s="52">
        <v>46239</v>
      </c>
      <c r="H78" s="52">
        <v>46239</v>
      </c>
      <c r="I78" s="53">
        <v>46185</v>
      </c>
      <c r="J78" s="175">
        <v>300</v>
      </c>
      <c r="K78" s="175">
        <v>4</v>
      </c>
      <c r="L78" s="49" t="s">
        <v>581</v>
      </c>
      <c r="M78" s="49" t="s">
        <v>81</v>
      </c>
      <c r="N78" s="700" t="s">
        <v>519</v>
      </c>
      <c r="O78" s="49" t="s">
        <v>81</v>
      </c>
      <c r="P78" s="211" t="s">
        <v>550</v>
      </c>
      <c r="Q78" s="176" t="s">
        <v>519</v>
      </c>
      <c r="R78" s="48" t="s">
        <v>591</v>
      </c>
      <c r="S78" s="49" t="s">
        <v>581</v>
      </c>
      <c r="T78" s="48" t="s">
        <v>399</v>
      </c>
      <c r="U78" s="176">
        <v>46239</v>
      </c>
      <c r="V78" s="211">
        <v>46246</v>
      </c>
      <c r="W78" s="176"/>
      <c r="X78" s="176">
        <v>46249</v>
      </c>
      <c r="Y78" s="48" t="s">
        <v>599</v>
      </c>
      <c r="Z78" s="3" t="s">
        <v>393</v>
      </c>
      <c r="AA78" s="3" t="s">
        <v>319</v>
      </c>
    </row>
    <row r="79" s="3" customFormat="1" ht="27" hidden="1" customHeight="1" spans="1:27">
      <c r="A79" s="49">
        <f t="shared" si="5"/>
        <v>76</v>
      </c>
      <c r="B79" s="48" t="s">
        <v>394</v>
      </c>
      <c r="C79" s="49" t="s">
        <v>342</v>
      </c>
      <c r="D79" s="50" t="s">
        <v>589</v>
      </c>
      <c r="E79" s="50" t="s">
        <v>590</v>
      </c>
      <c r="F79" s="52">
        <v>46129</v>
      </c>
      <c r="G79" s="52">
        <v>46239</v>
      </c>
      <c r="H79" s="52">
        <v>46239</v>
      </c>
      <c r="I79" s="53">
        <v>46185</v>
      </c>
      <c r="J79" s="175">
        <v>304</v>
      </c>
      <c r="K79" s="175">
        <v>4</v>
      </c>
      <c r="L79" s="49" t="s">
        <v>581</v>
      </c>
      <c r="M79" s="49" t="s">
        <v>81</v>
      </c>
      <c r="N79" s="700" t="s">
        <v>519</v>
      </c>
      <c r="O79" s="49" t="s">
        <v>81</v>
      </c>
      <c r="P79" s="211" t="s">
        <v>550</v>
      </c>
      <c r="Q79" s="176" t="s">
        <v>519</v>
      </c>
      <c r="R79" s="48" t="s">
        <v>591</v>
      </c>
      <c r="S79" s="49" t="s">
        <v>581</v>
      </c>
      <c r="T79" s="48" t="s">
        <v>399</v>
      </c>
      <c r="U79" s="176">
        <v>46239</v>
      </c>
      <c r="V79" s="211">
        <v>46246</v>
      </c>
      <c r="W79" s="176"/>
      <c r="X79" s="176">
        <v>46249</v>
      </c>
      <c r="Y79" s="48" t="s">
        <v>600</v>
      </c>
      <c r="Z79" s="3" t="s">
        <v>393</v>
      </c>
      <c r="AA79" s="3" t="s">
        <v>319</v>
      </c>
    </row>
    <row r="80" s="3" customFormat="1" ht="27" hidden="1" customHeight="1" spans="1:27">
      <c r="A80" s="49">
        <f t="shared" si="5"/>
        <v>77</v>
      </c>
      <c r="B80" s="48" t="s">
        <v>420</v>
      </c>
      <c r="C80" s="49" t="s">
        <v>421</v>
      </c>
      <c r="D80" s="50" t="s">
        <v>601</v>
      </c>
      <c r="E80" s="50" t="s">
        <v>602</v>
      </c>
      <c r="F80" s="52">
        <v>46093</v>
      </c>
      <c r="G80" s="52">
        <v>46241</v>
      </c>
      <c r="H80" s="52">
        <v>46241</v>
      </c>
      <c r="I80" s="53">
        <v>46204</v>
      </c>
      <c r="J80" s="175">
        <v>2612</v>
      </c>
      <c r="K80" s="175">
        <v>4</v>
      </c>
      <c r="L80" s="49" t="s">
        <v>581</v>
      </c>
      <c r="M80" s="49" t="s">
        <v>81</v>
      </c>
      <c r="N80" s="700" t="s">
        <v>555</v>
      </c>
      <c r="O80" s="49" t="s">
        <v>196</v>
      </c>
      <c r="P80" s="211" t="s">
        <v>582</v>
      </c>
      <c r="Q80" s="176" t="s">
        <v>556</v>
      </c>
      <c r="R80" s="48" t="s">
        <v>603</v>
      </c>
      <c r="S80" s="49" t="s">
        <v>581</v>
      </c>
      <c r="T80" s="48" t="s">
        <v>425</v>
      </c>
      <c r="U80" s="176">
        <v>46241</v>
      </c>
      <c r="V80" s="211">
        <v>46248</v>
      </c>
      <c r="W80" s="176"/>
      <c r="X80" s="176">
        <v>46269</v>
      </c>
      <c r="Y80" s="48" t="s">
        <v>604</v>
      </c>
      <c r="Z80" s="3" t="s">
        <v>415</v>
      </c>
      <c r="AA80" s="3" t="s">
        <v>558</v>
      </c>
    </row>
    <row r="81" s="3" customFormat="1" ht="27" hidden="1" customHeight="1" spans="1:28">
      <c r="A81" s="49">
        <f t="shared" si="5"/>
        <v>78</v>
      </c>
      <c r="B81" s="48" t="s">
        <v>420</v>
      </c>
      <c r="C81" s="49" t="s">
        <v>421</v>
      </c>
      <c r="D81" s="50" t="s">
        <v>605</v>
      </c>
      <c r="E81" s="50" t="s">
        <v>606</v>
      </c>
      <c r="F81" s="52">
        <v>46093</v>
      </c>
      <c r="G81" s="52">
        <v>46248</v>
      </c>
      <c r="H81" s="52">
        <v>46248</v>
      </c>
      <c r="I81" s="53">
        <v>46204</v>
      </c>
      <c r="J81" s="175">
        <v>2220</v>
      </c>
      <c r="K81" s="175">
        <v>4</v>
      </c>
      <c r="L81" s="49" t="s">
        <v>581</v>
      </c>
      <c r="M81" s="49" t="s">
        <v>81</v>
      </c>
      <c r="N81" s="700" t="s">
        <v>555</v>
      </c>
      <c r="O81" s="49" t="s">
        <v>196</v>
      </c>
      <c r="P81" s="211" t="s">
        <v>582</v>
      </c>
      <c r="Q81" s="176" t="s">
        <v>556</v>
      </c>
      <c r="R81" s="48" t="s">
        <v>607</v>
      </c>
      <c r="S81" s="49" t="s">
        <v>581</v>
      </c>
      <c r="T81" s="48" t="s">
        <v>425</v>
      </c>
      <c r="U81" s="176">
        <v>46248</v>
      </c>
      <c r="V81" s="211">
        <v>46255</v>
      </c>
      <c r="W81" s="176"/>
      <c r="X81" s="176">
        <v>46270</v>
      </c>
      <c r="Y81" s="48" t="s">
        <v>608</v>
      </c>
      <c r="Z81" s="3" t="s">
        <v>415</v>
      </c>
      <c r="AA81" s="3" t="s">
        <v>558</v>
      </c>
    </row>
    <row r="82" s="3" customFormat="1" ht="39" customHeight="1" spans="1:28">
      <c r="A82" s="49">
        <f t="shared" si="5"/>
        <v>79</v>
      </c>
      <c r="B82" s="48" t="s">
        <v>440</v>
      </c>
      <c r="C82" s="49" t="s">
        <v>114</v>
      </c>
      <c r="D82" s="50" t="s">
        <v>609</v>
      </c>
      <c r="E82" s="51" t="s">
        <v>610</v>
      </c>
      <c r="F82" s="52">
        <v>46174</v>
      </c>
      <c r="G82" s="52">
        <v>46254</v>
      </c>
      <c r="H82" s="52">
        <v>46254</v>
      </c>
      <c r="I82" s="53">
        <v>46185</v>
      </c>
      <c r="J82" s="175">
        <v>124</v>
      </c>
      <c r="K82" s="175">
        <v>4</v>
      </c>
      <c r="L82" s="49" t="s">
        <v>581</v>
      </c>
      <c r="M82" s="49" t="s">
        <v>81</v>
      </c>
      <c r="N82" s="700" t="s">
        <v>555</v>
      </c>
      <c r="O82" s="49" t="s">
        <v>81</v>
      </c>
      <c r="P82" s="211" t="s">
        <v>550</v>
      </c>
      <c r="Q82" s="176" t="s">
        <v>556</v>
      </c>
      <c r="R82" s="48" t="s">
        <v>607</v>
      </c>
      <c r="S82" s="48" t="s">
        <v>581</v>
      </c>
      <c r="T82" s="48" t="s">
        <v>445</v>
      </c>
      <c r="U82" s="176">
        <v>46254</v>
      </c>
      <c r="V82" s="211">
        <v>46259</v>
      </c>
      <c r="W82" s="176"/>
      <c r="X82" s="176"/>
      <c r="Y82" s="49" t="s">
        <v>611</v>
      </c>
      <c r="Z82" s="3" t="s">
        <v>393</v>
      </c>
      <c r="AA82" s="3" t="s">
        <v>558</v>
      </c>
      <c r="AB82" s="193"/>
    </row>
    <row r="83" s="3" customFormat="1" ht="33" customHeight="1" spans="1:28">
      <c r="A83" s="49">
        <f t="shared" si="5"/>
        <v>80</v>
      </c>
      <c r="B83" s="48" t="s">
        <v>440</v>
      </c>
      <c r="C83" s="49" t="s">
        <v>114</v>
      </c>
      <c r="D83" s="50" t="s">
        <v>612</v>
      </c>
      <c r="E83" s="50" t="s">
        <v>613</v>
      </c>
      <c r="F83" s="52">
        <v>46181</v>
      </c>
      <c r="G83" s="52">
        <v>46263</v>
      </c>
      <c r="H83" s="52">
        <v>46263</v>
      </c>
      <c r="I83" s="53">
        <v>46212</v>
      </c>
      <c r="J83" s="175">
        <v>100</v>
      </c>
      <c r="K83" s="175">
        <v>4</v>
      </c>
      <c r="L83" s="49" t="s">
        <v>614</v>
      </c>
      <c r="M83" s="49" t="s">
        <v>81</v>
      </c>
      <c r="N83" s="700" t="s">
        <v>615</v>
      </c>
      <c r="O83" s="49" t="s">
        <v>81</v>
      </c>
      <c r="P83" s="211" t="s">
        <v>616</v>
      </c>
      <c r="Q83" s="211" t="s">
        <v>615</v>
      </c>
      <c r="R83" s="48" t="s">
        <v>607</v>
      </c>
      <c r="S83" s="48" t="s">
        <v>614</v>
      </c>
      <c r="T83" s="48" t="s">
        <v>445</v>
      </c>
      <c r="U83" s="176">
        <v>46263</v>
      </c>
      <c r="V83" s="211">
        <v>46267</v>
      </c>
      <c r="W83" s="176"/>
      <c r="X83" s="176"/>
      <c r="Y83" s="48" t="s">
        <v>617</v>
      </c>
      <c r="Z83" s="3" t="s">
        <v>393</v>
      </c>
      <c r="AA83" s="3" t="s">
        <v>618</v>
      </c>
      <c r="AB83" s="193"/>
    </row>
    <row r="84" s="3" customFormat="1" ht="27" customHeight="1" spans="1:28">
      <c r="A84" s="49">
        <f t="shared" si="5"/>
        <v>81</v>
      </c>
      <c r="B84" s="48" t="s">
        <v>420</v>
      </c>
      <c r="C84" s="49" t="s">
        <v>421</v>
      </c>
      <c r="D84" s="50" t="s">
        <v>619</v>
      </c>
      <c r="E84" s="50" t="s">
        <v>620</v>
      </c>
      <c r="F84" s="52">
        <v>46191</v>
      </c>
      <c r="G84" s="52">
        <v>46254</v>
      </c>
      <c r="H84" s="52">
        <v>46254</v>
      </c>
      <c r="I84" s="53">
        <v>46204</v>
      </c>
      <c r="J84" s="175">
        <v>3100</v>
      </c>
      <c r="K84" s="175">
        <v>4</v>
      </c>
      <c r="L84" s="49" t="s">
        <v>614</v>
      </c>
      <c r="M84" s="49" t="s">
        <v>81</v>
      </c>
      <c r="N84" s="700" t="s">
        <v>615</v>
      </c>
      <c r="O84" s="49" t="s">
        <v>196</v>
      </c>
      <c r="P84" s="211" t="s">
        <v>375</v>
      </c>
      <c r="Q84" s="211" t="s">
        <v>615</v>
      </c>
      <c r="R84" s="48" t="s">
        <v>607</v>
      </c>
      <c r="S84" s="48" t="s">
        <v>614</v>
      </c>
      <c r="T84" s="48" t="s">
        <v>425</v>
      </c>
      <c r="U84" s="176">
        <v>46254</v>
      </c>
      <c r="V84" s="211">
        <v>46268</v>
      </c>
      <c r="W84" s="176"/>
      <c r="X84" s="176"/>
      <c r="Y84" s="49" t="s">
        <v>621</v>
      </c>
      <c r="Z84" s="3" t="s">
        <v>415</v>
      </c>
      <c r="AA84" s="3" t="s">
        <v>618</v>
      </c>
      <c r="AB84" s="193"/>
    </row>
    <row r="85" s="3" customFormat="1" ht="27" customHeight="1" spans="1:28">
      <c r="A85" s="49">
        <f t="shared" si="5"/>
        <v>82</v>
      </c>
      <c r="B85" s="48" t="s">
        <v>420</v>
      </c>
      <c r="C85" s="49" t="s">
        <v>421</v>
      </c>
      <c r="D85" s="50" t="s">
        <v>622</v>
      </c>
      <c r="E85" s="50" t="s">
        <v>623</v>
      </c>
      <c r="F85" s="52">
        <v>46191</v>
      </c>
      <c r="G85" s="52">
        <v>46261</v>
      </c>
      <c r="H85" s="52">
        <v>46261</v>
      </c>
      <c r="I85" s="53">
        <v>46204</v>
      </c>
      <c r="J85" s="175">
        <v>1168</v>
      </c>
      <c r="K85" s="175">
        <v>4</v>
      </c>
      <c r="L85" s="49" t="s">
        <v>614</v>
      </c>
      <c r="M85" s="49" t="s">
        <v>81</v>
      </c>
      <c r="N85" s="700" t="s">
        <v>615</v>
      </c>
      <c r="O85" s="49" t="s">
        <v>196</v>
      </c>
      <c r="P85" s="211" t="s">
        <v>375</v>
      </c>
      <c r="Q85" s="211" t="s">
        <v>615</v>
      </c>
      <c r="R85" s="48" t="s">
        <v>607</v>
      </c>
      <c r="S85" s="48" t="s">
        <v>614</v>
      </c>
      <c r="T85" s="48" t="s">
        <v>425</v>
      </c>
      <c r="U85" s="176">
        <v>46261</v>
      </c>
      <c r="V85" s="308">
        <v>46276</v>
      </c>
      <c r="W85" s="176"/>
      <c r="X85" s="176"/>
      <c r="Y85" s="49" t="s">
        <v>624</v>
      </c>
      <c r="Z85" s="3" t="s">
        <v>415</v>
      </c>
      <c r="AA85" s="3" t="s">
        <v>618</v>
      </c>
      <c r="AB85" s="193"/>
    </row>
    <row r="86" s="3" customFormat="1" ht="39" customHeight="1" spans="1:28">
      <c r="A86" s="49">
        <f t="shared" si="5"/>
        <v>83</v>
      </c>
      <c r="B86" s="48" t="s">
        <v>440</v>
      </c>
      <c r="C86" s="49" t="s">
        <v>114</v>
      </c>
      <c r="D86" s="50" t="s">
        <v>612</v>
      </c>
      <c r="E86" s="50" t="s">
        <v>613</v>
      </c>
      <c r="F86" s="52">
        <v>46189</v>
      </c>
      <c r="G86" s="52">
        <v>46276</v>
      </c>
      <c r="H86" s="52">
        <v>46276</v>
      </c>
      <c r="I86" s="53">
        <v>46212</v>
      </c>
      <c r="J86" s="175">
        <v>100</v>
      </c>
      <c r="K86" s="175">
        <v>4</v>
      </c>
      <c r="L86" s="49" t="s">
        <v>614</v>
      </c>
      <c r="M86" s="49" t="s">
        <v>81</v>
      </c>
      <c r="N86" s="700" t="s">
        <v>615</v>
      </c>
      <c r="O86" s="49" t="s">
        <v>81</v>
      </c>
      <c r="P86" s="211" t="s">
        <v>616</v>
      </c>
      <c r="Q86" s="211" t="s">
        <v>615</v>
      </c>
      <c r="R86" s="48" t="s">
        <v>607</v>
      </c>
      <c r="S86" s="48" t="s">
        <v>614</v>
      </c>
      <c r="T86" s="48" t="s">
        <v>445</v>
      </c>
      <c r="U86" s="176">
        <v>46276</v>
      </c>
      <c r="V86" s="308">
        <v>46276</v>
      </c>
      <c r="W86" s="176"/>
      <c r="X86" s="176"/>
      <c r="Y86" s="49" t="s">
        <v>625</v>
      </c>
      <c r="Z86" s="3" t="s">
        <v>393</v>
      </c>
      <c r="AA86" s="3" t="s">
        <v>618</v>
      </c>
      <c r="AB86" s="193"/>
    </row>
    <row r="87" s="3" customFormat="1" ht="27" customHeight="1" spans="1:28">
      <c r="A87" s="96">
        <f t="shared" si="5"/>
        <v>84</v>
      </c>
      <c r="B87" s="183" t="s">
        <v>420</v>
      </c>
      <c r="C87" s="96" t="s">
        <v>421</v>
      </c>
      <c r="D87" s="488" t="s">
        <v>626</v>
      </c>
      <c r="E87" s="216" t="s">
        <v>627</v>
      </c>
      <c r="F87" s="217">
        <v>46093</v>
      </c>
      <c r="G87" s="217">
        <v>46268</v>
      </c>
      <c r="H87" s="217">
        <v>46268</v>
      </c>
      <c r="I87" s="218">
        <v>46245</v>
      </c>
      <c r="J87" s="95">
        <v>1632</v>
      </c>
      <c r="K87" s="95">
        <v>4</v>
      </c>
      <c r="L87" s="219" t="s">
        <v>614</v>
      </c>
      <c r="M87" s="219" t="s">
        <v>81</v>
      </c>
      <c r="N87" s="219" t="s">
        <v>628</v>
      </c>
      <c r="O87" s="96" t="s">
        <v>196</v>
      </c>
      <c r="P87" s="279" t="s">
        <v>629</v>
      </c>
      <c r="Q87" s="279" t="s">
        <v>628</v>
      </c>
      <c r="R87" s="279" t="s">
        <v>629</v>
      </c>
      <c r="S87" s="183" t="s">
        <v>614</v>
      </c>
      <c r="T87" s="183" t="s">
        <v>425</v>
      </c>
      <c r="U87" s="97">
        <v>46269</v>
      </c>
      <c r="V87" s="222">
        <v>46282</v>
      </c>
      <c r="W87" s="97"/>
      <c r="X87" s="97"/>
      <c r="Y87" s="96" t="s">
        <v>630</v>
      </c>
      <c r="Z87" s="3" t="s">
        <v>415</v>
      </c>
      <c r="AA87" s="3" t="s">
        <v>631</v>
      </c>
      <c r="AB87" s="193"/>
    </row>
    <row r="88" s="3" customFormat="1" ht="27" customHeight="1" spans="1:28">
      <c r="A88" s="96">
        <f t="shared" si="5"/>
        <v>85</v>
      </c>
      <c r="B88" s="183" t="s">
        <v>420</v>
      </c>
      <c r="C88" s="96" t="s">
        <v>421</v>
      </c>
      <c r="D88" s="488" t="s">
        <v>632</v>
      </c>
      <c r="E88" s="216" t="s">
        <v>633</v>
      </c>
      <c r="F88" s="217">
        <v>46093</v>
      </c>
      <c r="G88" s="217">
        <v>46275</v>
      </c>
      <c r="H88" s="217">
        <v>46275</v>
      </c>
      <c r="I88" s="218">
        <v>46245</v>
      </c>
      <c r="J88" s="95">
        <v>820</v>
      </c>
      <c r="K88" s="95">
        <v>4</v>
      </c>
      <c r="L88" s="219" t="s">
        <v>614</v>
      </c>
      <c r="M88" s="219" t="s">
        <v>81</v>
      </c>
      <c r="N88" s="219" t="s">
        <v>628</v>
      </c>
      <c r="O88" s="96" t="s">
        <v>196</v>
      </c>
      <c r="P88" s="279" t="s">
        <v>629</v>
      </c>
      <c r="Q88" s="279" t="s">
        <v>628</v>
      </c>
      <c r="R88" s="279" t="s">
        <v>629</v>
      </c>
      <c r="S88" s="183" t="s">
        <v>614</v>
      </c>
      <c r="T88" s="183" t="s">
        <v>425</v>
      </c>
      <c r="U88" s="97">
        <v>46276</v>
      </c>
      <c r="V88" s="222">
        <v>46282</v>
      </c>
      <c r="W88" s="97"/>
      <c r="X88" s="97"/>
      <c r="Y88" s="96" t="s">
        <v>634</v>
      </c>
      <c r="Z88" s="3" t="s">
        <v>415</v>
      </c>
      <c r="AA88" s="3" t="s">
        <v>631</v>
      </c>
      <c r="AB88" s="193"/>
    </row>
    <row r="89" s="3" customFormat="1" ht="27" customHeight="1" spans="1:28">
      <c r="A89" s="96">
        <f t="shared" si="5"/>
        <v>86</v>
      </c>
      <c r="B89" s="183" t="s">
        <v>420</v>
      </c>
      <c r="C89" s="96" t="s">
        <v>421</v>
      </c>
      <c r="D89" s="488" t="s">
        <v>635</v>
      </c>
      <c r="E89" s="216" t="s">
        <v>636</v>
      </c>
      <c r="F89" s="217">
        <v>46093</v>
      </c>
      <c r="G89" s="217">
        <v>46282</v>
      </c>
      <c r="H89" s="217">
        <v>46282</v>
      </c>
      <c r="I89" s="218">
        <v>46245</v>
      </c>
      <c r="J89" s="95">
        <v>1140</v>
      </c>
      <c r="K89" s="95">
        <v>4</v>
      </c>
      <c r="L89" s="219" t="s">
        <v>614</v>
      </c>
      <c r="M89" s="219" t="s">
        <v>81</v>
      </c>
      <c r="N89" s="219" t="s">
        <v>628</v>
      </c>
      <c r="O89" s="96" t="s">
        <v>196</v>
      </c>
      <c r="P89" s="279" t="s">
        <v>629</v>
      </c>
      <c r="Q89" s="279" t="s">
        <v>628</v>
      </c>
      <c r="R89" s="279" t="s">
        <v>629</v>
      </c>
      <c r="S89" s="183" t="s">
        <v>614</v>
      </c>
      <c r="T89" s="183" t="s">
        <v>425</v>
      </c>
      <c r="U89" s="97">
        <v>46281</v>
      </c>
      <c r="V89" s="222">
        <v>46282</v>
      </c>
      <c r="W89" s="97"/>
      <c r="X89" s="97"/>
      <c r="Y89" s="96" t="s">
        <v>637</v>
      </c>
      <c r="Z89" s="3" t="s">
        <v>415</v>
      </c>
      <c r="AA89" s="3" t="s">
        <v>631</v>
      </c>
      <c r="AB89" s="193"/>
    </row>
    <row r="90" s="3" customFormat="1" ht="30" hidden="1" customHeight="1" spans="1:28">
      <c r="A90" s="342">
        <f t="shared" si="5"/>
        <v>87</v>
      </c>
      <c r="B90" s="341" t="s">
        <v>420</v>
      </c>
      <c r="C90" s="342" t="s">
        <v>421</v>
      </c>
      <c r="D90" s="343" t="s">
        <v>638</v>
      </c>
      <c r="E90" s="344"/>
      <c r="F90" s="345">
        <v>46196</v>
      </c>
      <c r="G90" s="345">
        <v>46304</v>
      </c>
      <c r="H90" s="345">
        <v>46304</v>
      </c>
      <c r="I90" s="346"/>
      <c r="J90" s="348"/>
      <c r="K90" s="348">
        <v>4</v>
      </c>
      <c r="L90" s="342" t="s">
        <v>614</v>
      </c>
      <c r="M90" s="342" t="s">
        <v>81</v>
      </c>
      <c r="N90" s="342" t="s">
        <v>628</v>
      </c>
      <c r="O90" s="342" t="s">
        <v>196</v>
      </c>
      <c r="P90" s="349" t="s">
        <v>639</v>
      </c>
      <c r="Q90" s="349" t="s">
        <v>628</v>
      </c>
      <c r="R90" s="341"/>
      <c r="S90" s="341" t="s">
        <v>614</v>
      </c>
      <c r="T90" s="341" t="s">
        <v>425</v>
      </c>
      <c r="U90" s="353">
        <v>46304</v>
      </c>
      <c r="V90" s="1196"/>
      <c r="W90" s="353"/>
      <c r="X90" s="353" t="s">
        <v>640</v>
      </c>
      <c r="Y90" s="342" t="s">
        <v>641</v>
      </c>
      <c r="Z90" s="3" t="s">
        <v>415</v>
      </c>
      <c r="AA90" s="3" t="s">
        <v>631</v>
      </c>
      <c r="AB90" s="193"/>
    </row>
    <row r="91" s="3" customFormat="1" ht="30" hidden="1" customHeight="1" spans="1:28">
      <c r="A91" s="342">
        <f t="shared" si="5"/>
        <v>88</v>
      </c>
      <c r="B91" s="341" t="s">
        <v>420</v>
      </c>
      <c r="C91" s="342" t="s">
        <v>421</v>
      </c>
      <c r="D91" s="343" t="s">
        <v>642</v>
      </c>
      <c r="E91" s="344"/>
      <c r="F91" s="345">
        <v>46196</v>
      </c>
      <c r="G91" s="345">
        <v>46304</v>
      </c>
      <c r="H91" s="345">
        <v>46304</v>
      </c>
      <c r="I91" s="346"/>
      <c r="J91" s="348"/>
      <c r="K91" s="348">
        <v>4</v>
      </c>
      <c r="L91" s="342" t="s">
        <v>614</v>
      </c>
      <c r="M91" s="342" t="s">
        <v>81</v>
      </c>
      <c r="N91" s="342" t="s">
        <v>628</v>
      </c>
      <c r="O91" s="342" t="s">
        <v>196</v>
      </c>
      <c r="P91" s="349" t="s">
        <v>639</v>
      </c>
      <c r="Q91" s="349" t="s">
        <v>628</v>
      </c>
      <c r="R91" s="341"/>
      <c r="S91" s="341" t="s">
        <v>614</v>
      </c>
      <c r="T91" s="341" t="s">
        <v>425</v>
      </c>
      <c r="U91" s="353">
        <v>46304</v>
      </c>
      <c r="V91" s="1196"/>
      <c r="W91" s="353"/>
      <c r="X91" s="353" t="s">
        <v>640</v>
      </c>
      <c r="Y91" s="342" t="s">
        <v>643</v>
      </c>
      <c r="Z91" s="3" t="s">
        <v>415</v>
      </c>
      <c r="AA91" s="3" t="s">
        <v>631</v>
      </c>
      <c r="AB91" s="193"/>
    </row>
    <row r="92" s="3" customFormat="1" ht="27" customHeight="1" spans="1:28">
      <c r="A92" s="96">
        <f t="shared" si="5"/>
        <v>89</v>
      </c>
      <c r="B92" s="269" t="s">
        <v>644</v>
      </c>
      <c r="C92" s="270" t="s">
        <v>645</v>
      </c>
      <c r="D92" s="271" t="s">
        <v>646</v>
      </c>
      <c r="E92" s="271" t="s">
        <v>647</v>
      </c>
      <c r="F92" s="273">
        <v>46253</v>
      </c>
      <c r="G92" s="273">
        <v>46350</v>
      </c>
      <c r="H92" s="273"/>
      <c r="I92" s="274"/>
      <c r="J92" s="276">
        <v>500</v>
      </c>
      <c r="K92" s="276">
        <v>4</v>
      </c>
      <c r="L92" s="219"/>
      <c r="M92" s="219"/>
      <c r="N92" s="219"/>
      <c r="O92" s="96" t="s">
        <v>81</v>
      </c>
      <c r="P92" s="279"/>
      <c r="Q92" s="279"/>
      <c r="R92" s="183"/>
      <c r="S92" s="183"/>
      <c r="T92" s="183"/>
      <c r="U92" s="97"/>
      <c r="V92" s="222"/>
      <c r="W92" s="97"/>
      <c r="X92" s="97"/>
      <c r="Y92" s="96"/>
      <c r="Z92" s="3" t="s">
        <v>415</v>
      </c>
    </row>
    <row r="93" s="3" customFormat="1" ht="27" customHeight="1" spans="1:28">
      <c r="A93" s="96"/>
      <c r="B93" s="183"/>
      <c r="C93" s="183"/>
      <c r="D93" s="216"/>
      <c r="E93" s="216"/>
      <c r="F93" s="217"/>
      <c r="G93" s="217"/>
      <c r="H93" s="217"/>
      <c r="I93" s="218"/>
      <c r="J93" s="95"/>
      <c r="K93" s="95"/>
      <c r="L93" s="219"/>
      <c r="M93" s="219"/>
      <c r="N93" s="219"/>
      <c r="O93" s="96"/>
      <c r="P93" s="279"/>
      <c r="Q93" s="279"/>
      <c r="R93" s="183"/>
      <c r="S93" s="183"/>
      <c r="T93" s="183"/>
      <c r="U93" s="97"/>
      <c r="V93" s="222"/>
      <c r="W93" s="97"/>
      <c r="X93" s="97"/>
      <c r="Y93" s="96"/>
      <c r="AA93" s="193"/>
      <c r="AB93" s="193"/>
    </row>
    <row r="94" s="3" customFormat="1" ht="17.1" customHeight="1" spans="1:28">
      <c r="A94" s="1197" t="s">
        <v>175</v>
      </c>
      <c r="B94" s="1197"/>
      <c r="C94" s="1197"/>
      <c r="D94" s="1197"/>
      <c r="E94" s="1197"/>
      <c r="F94" s="1197"/>
      <c r="G94" s="1197"/>
      <c r="H94" s="1197"/>
      <c r="I94" s="1197"/>
      <c r="J94" s="95">
        <f>SUM(J4:J93)</f>
        <v>55478</v>
      </c>
      <c r="K94" s="95"/>
      <c r="L94" s="95"/>
      <c r="M94" s="95"/>
      <c r="N94" s="95"/>
      <c r="O94" s="96"/>
      <c r="P94" s="96"/>
      <c r="Q94" s="96"/>
      <c r="R94" s="96"/>
      <c r="S94" s="96"/>
      <c r="T94" s="96"/>
      <c r="U94" s="97"/>
      <c r="V94" s="97"/>
      <c r="W94" s="97"/>
      <c r="X94" s="97"/>
      <c r="Y94" s="96"/>
      <c r="AA94" s="4"/>
    </row>
    <row r="95" s="4" customFormat="1" ht="17.1" customHeight="1" spans="1:28">
      <c r="A95" s="1198"/>
      <c r="B95" s="1198"/>
      <c r="C95" s="1198"/>
      <c r="D95" s="1198"/>
      <c r="E95" s="1198"/>
      <c r="F95" s="1198"/>
      <c r="G95" s="1198"/>
      <c r="H95" s="1198"/>
      <c r="I95" s="1198"/>
      <c r="J95" s="1199">
        <f>15708+100+3000+3000+5730+9172+10208+4468+10092</f>
        <v>61478</v>
      </c>
      <c r="K95" s="100"/>
      <c r="L95" s="147"/>
      <c r="M95" s="147"/>
      <c r="N95" s="147"/>
      <c r="O95" s="100"/>
      <c r="P95" s="100"/>
      <c r="Q95" s="100"/>
      <c r="R95" s="100"/>
      <c r="S95" s="100"/>
      <c r="T95" s="100"/>
      <c r="U95" s="101"/>
      <c r="V95" s="101"/>
      <c r="W95" s="100"/>
      <c r="X95" s="100"/>
      <c r="Y95" s="100"/>
    </row>
    <row r="96" s="4" customFormat="1" ht="19.5" customHeight="1" spans="1:28">
      <c r="A96" s="1163" t="s">
        <v>67</v>
      </c>
      <c r="B96" s="1163"/>
      <c r="C96" s="1163"/>
      <c r="D96" s="1163"/>
      <c r="E96" s="1163"/>
      <c r="F96" s="1163"/>
      <c r="G96" s="1163"/>
      <c r="H96" s="1163"/>
      <c r="I96" s="1163"/>
      <c r="J96" s="150">
        <f>J95-J94</f>
        <v>6000</v>
      </c>
      <c r="K96" s="368"/>
      <c r="L96" s="151"/>
      <c r="M96" s="151"/>
      <c r="N96" s="151"/>
      <c r="O96" s="151"/>
      <c r="P96" s="151"/>
      <c r="Q96" s="151"/>
      <c r="R96" s="151"/>
      <c r="S96" s="151"/>
      <c r="T96" s="151"/>
      <c r="U96" s="1200"/>
      <c r="V96" s="101"/>
      <c r="W96" s="100"/>
      <c r="X96" s="100"/>
      <c r="Y96" s="100"/>
      <c r="AA96" s="193"/>
    </row>
    <row r="97" spans="2:21">
      <c r="B97" s="110" t="s">
        <v>68</v>
      </c>
      <c r="C97" s="110"/>
      <c r="D97" s="1201"/>
      <c r="E97" s="1201"/>
      <c r="F97" s="111"/>
      <c r="G97" s="1202"/>
      <c r="H97" s="1202"/>
      <c r="I97" s="1202"/>
      <c r="J97" s="1203"/>
    </row>
    <row r="100" spans="2:21">
      <c r="B100" s="328"/>
      <c r="C100" s="328"/>
      <c r="D100" s="1204" t="s">
        <v>374</v>
      </c>
      <c r="E100" s="1204"/>
      <c r="F100" s="328"/>
      <c r="U100" s="1205"/>
    </row>
    <row r="101" spans="2:21">
      <c r="B101" s="1206" t="s">
        <v>648</v>
      </c>
      <c r="C101" s="328"/>
      <c r="D101" s="1204" t="s">
        <v>649</v>
      </c>
      <c r="E101" s="1204"/>
      <c r="F101" s="328"/>
      <c r="U101" s="1205"/>
    </row>
    <row r="102" spans="2:21">
      <c r="B102" s="1206" t="s">
        <v>650</v>
      </c>
      <c r="C102" s="328"/>
      <c r="D102" s="1204"/>
      <c r="E102" s="1204"/>
      <c r="F102" s="328"/>
      <c r="U102" s="1205"/>
    </row>
    <row r="103" spans="2:21">
      <c r="B103" s="1206" t="s">
        <v>651</v>
      </c>
      <c r="C103" s="328"/>
      <c r="D103" s="1204" t="s">
        <v>652</v>
      </c>
      <c r="E103" s="1204"/>
      <c r="F103" s="328" t="s">
        <v>653</v>
      </c>
    </row>
    <row r="104" spans="2:21">
      <c r="B104" s="1206" t="s">
        <v>654</v>
      </c>
      <c r="C104" s="328"/>
      <c r="D104" s="1204" t="s">
        <v>655</v>
      </c>
      <c r="E104" s="1204"/>
      <c r="F104" s="328" t="s">
        <v>656</v>
      </c>
    </row>
    <row r="105" spans="2:21">
      <c r="B105" s="1206"/>
      <c r="C105" s="328"/>
      <c r="D105" s="1204"/>
      <c r="E105" s="1204"/>
    </row>
  </sheetData>
  <autoFilter xmlns:etc="http://www.wps.cn/officeDocument/2017/etCustomData" ref="A3:AB105" etc:filterBottomFollowUsedRange="0">
    <filterColumn colId="23">
      <filters blank="1"/>
    </filterColumn>
    <extLst/>
  </autoFilter>
  <mergeCells count="30">
    <mergeCell ref="A1:T1"/>
    <mergeCell ref="U1:W1"/>
    <mergeCell ref="X1:Y1"/>
    <mergeCell ref="L2:N2"/>
    <mergeCell ref="A94:I94"/>
    <mergeCell ref="A95:I95"/>
    <mergeCell ref="A96:I96"/>
    <mergeCell ref="G97:I9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</mergeCells>
  <conditionalFormatting sqref="J96">
    <cfRule type="cellIs" dxfId="1" priority="1" operator="lessThan">
      <formula>0</formula>
    </cfRule>
  </conditionalFormatting>
  <conditionalFormatting sqref="L96:T96">
    <cfRule type="cellIs" dxfId="0" priority="2" operator="lessThan">
      <formula>0</formula>
    </cfRule>
  </conditionalFormatting>
  <printOptions horizontalCentered="1"/>
  <pageMargins left="0.313888888888889" right="0.313888888888889" top="0.313888888888889" bottom="0.196527777777778" header="0.235416666666667" footer="0.313888888888889"/>
  <pageSetup paperSize="9" scale="65" orientation="landscape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FF00"/>
    <pageSetUpPr fitToPage="1"/>
  </sheetPr>
  <dimension ref="A1:AD20"/>
  <sheetViews>
    <sheetView view="pageBreakPreview" zoomScaleNormal="100" workbookViewId="0">
      <pane xSplit="10" topLeftCell="K1" activePane="topRight" state="frozen"/>
      <selection/>
      <selection pane="topRight" activeCell="A1" sqref="A1:X1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5.375" customWidth="1"/>
    <col min="6" max="9" width="6.125" customWidth="1"/>
    <col min="10" max="10" width="7.125" customWidth="1"/>
    <col min="11" max="11" width="5.625" customWidth="1"/>
    <col min="12" max="17" width="6.375" style="1174" customWidth="1"/>
    <col min="18" max="18" width="6.375" customWidth="1"/>
    <col min="19" max="19" width="8.625" customWidth="1"/>
    <col min="20" max="20" width="7.125" customWidth="1"/>
    <col min="21" max="21" width="6.625" customWidth="1"/>
    <col min="22" max="22" width="7.125" customWidth="1"/>
    <col min="23" max="23" width="7.625" customWidth="1"/>
    <col min="24" max="24" width="20.625" customWidth="1"/>
    <col min="25" max="25" width="6.625" customWidth="1"/>
    <col min="26" max="27" width="7.125" style="193" customWidth="1"/>
    <col min="28" max="28" width="5.125" style="193" customWidth="1"/>
    <col min="29" max="29" width="19.125" customWidth="1"/>
    <col min="30" max="30" width="17" customWidth="1"/>
    <col min="258" max="258" width="3.125" customWidth="1"/>
    <col min="259" max="259" width="9.125" customWidth="1"/>
    <col min="260" max="260" width="7.125" customWidth="1"/>
    <col min="261" max="261" width="15.375" customWidth="1"/>
    <col min="262" max="265" width="6.125" customWidth="1"/>
    <col min="266" max="266" width="7.125" customWidth="1"/>
    <col min="267" max="267" width="5.625" customWidth="1"/>
    <col min="268" max="274" width="6.375" customWidth="1"/>
    <col min="275" max="275" width="8.625" customWidth="1"/>
    <col min="276" max="276" width="7.125" customWidth="1"/>
    <col min="277" max="277" width="6.625" customWidth="1"/>
    <col min="278" max="278" width="7.125" customWidth="1"/>
    <col min="279" max="279" width="7.625" customWidth="1"/>
    <col min="280" max="280" width="20.625" customWidth="1"/>
    <col min="281" max="281" width="6.625" customWidth="1"/>
    <col min="282" max="283" width="7.125" customWidth="1"/>
    <col min="284" max="284" width="5.125" customWidth="1"/>
    <col min="285" max="285" width="17.625" customWidth="1"/>
    <col min="514" max="514" width="3.125" customWidth="1"/>
    <col min="515" max="515" width="9.125" customWidth="1"/>
    <col min="516" max="516" width="7.125" customWidth="1"/>
    <col min="517" max="517" width="15.375" customWidth="1"/>
    <col min="518" max="521" width="6.125" customWidth="1"/>
    <col min="522" max="522" width="7.125" customWidth="1"/>
    <col min="523" max="523" width="5.625" customWidth="1"/>
    <col min="524" max="530" width="6.375" customWidth="1"/>
    <col min="531" max="531" width="8.625" customWidth="1"/>
    <col min="532" max="532" width="7.125" customWidth="1"/>
    <col min="533" max="533" width="6.625" customWidth="1"/>
    <col min="534" max="534" width="7.125" customWidth="1"/>
    <col min="535" max="535" width="7.625" customWidth="1"/>
    <col min="536" max="536" width="20.625" customWidth="1"/>
    <col min="537" max="537" width="6.625" customWidth="1"/>
    <col min="538" max="539" width="7.125" customWidth="1"/>
    <col min="540" max="540" width="5.125" customWidth="1"/>
    <col min="541" max="541" width="17.625" customWidth="1"/>
    <col min="770" max="770" width="3.125" customWidth="1"/>
    <col min="771" max="771" width="9.125" customWidth="1"/>
    <col min="772" max="772" width="7.125" customWidth="1"/>
    <col min="773" max="773" width="15.375" customWidth="1"/>
    <col min="774" max="777" width="6.125" customWidth="1"/>
    <col min="778" max="778" width="7.125" customWidth="1"/>
    <col min="779" max="779" width="5.625" customWidth="1"/>
    <col min="780" max="786" width="6.375" customWidth="1"/>
    <col min="787" max="787" width="8.625" customWidth="1"/>
    <col min="788" max="788" width="7.125" customWidth="1"/>
    <col min="789" max="789" width="6.625" customWidth="1"/>
    <col min="790" max="790" width="7.125" customWidth="1"/>
    <col min="791" max="791" width="7.625" customWidth="1"/>
    <col min="792" max="792" width="20.625" customWidth="1"/>
    <col min="793" max="793" width="6.625" customWidth="1"/>
    <col min="794" max="795" width="7.125" customWidth="1"/>
    <col min="796" max="796" width="5.125" customWidth="1"/>
    <col min="797" max="797" width="17.625" customWidth="1"/>
    <col min="1026" max="1026" width="3.125" customWidth="1"/>
    <col min="1027" max="1027" width="9.125" customWidth="1"/>
    <col min="1028" max="1028" width="7.125" customWidth="1"/>
    <col min="1029" max="1029" width="15.375" customWidth="1"/>
    <col min="1030" max="1033" width="6.125" customWidth="1"/>
    <col min="1034" max="1034" width="7.125" customWidth="1"/>
    <col min="1035" max="1035" width="5.625" customWidth="1"/>
    <col min="1036" max="1042" width="6.375" customWidth="1"/>
    <col min="1043" max="1043" width="8.625" customWidth="1"/>
    <col min="1044" max="1044" width="7.125" customWidth="1"/>
    <col min="1045" max="1045" width="6.625" customWidth="1"/>
    <col min="1046" max="1046" width="7.125" customWidth="1"/>
    <col min="1047" max="1047" width="7.625" customWidth="1"/>
    <col min="1048" max="1048" width="20.625" customWidth="1"/>
    <col min="1049" max="1049" width="6.625" customWidth="1"/>
    <col min="1050" max="1051" width="7.125" customWidth="1"/>
    <col min="1052" max="1052" width="5.125" customWidth="1"/>
    <col min="1053" max="1053" width="17.625" customWidth="1"/>
    <col min="1282" max="1282" width="3.125" customWidth="1"/>
    <col min="1283" max="1283" width="9.125" customWidth="1"/>
    <col min="1284" max="1284" width="7.125" customWidth="1"/>
    <col min="1285" max="1285" width="15.375" customWidth="1"/>
    <col min="1286" max="1289" width="6.125" customWidth="1"/>
    <col min="1290" max="1290" width="7.125" customWidth="1"/>
    <col min="1291" max="1291" width="5.625" customWidth="1"/>
    <col min="1292" max="1298" width="6.375" customWidth="1"/>
    <col min="1299" max="1299" width="8.625" customWidth="1"/>
    <col min="1300" max="1300" width="7.125" customWidth="1"/>
    <col min="1301" max="1301" width="6.625" customWidth="1"/>
    <col min="1302" max="1302" width="7.125" customWidth="1"/>
    <col min="1303" max="1303" width="7.625" customWidth="1"/>
    <col min="1304" max="1304" width="20.625" customWidth="1"/>
    <col min="1305" max="1305" width="6.625" customWidth="1"/>
    <col min="1306" max="1307" width="7.125" customWidth="1"/>
    <col min="1308" max="1308" width="5.125" customWidth="1"/>
    <col min="1309" max="1309" width="17.625" customWidth="1"/>
    <col min="1538" max="1538" width="3.125" customWidth="1"/>
    <col min="1539" max="1539" width="9.125" customWidth="1"/>
    <col min="1540" max="1540" width="7.125" customWidth="1"/>
    <col min="1541" max="1541" width="15.375" customWidth="1"/>
    <col min="1542" max="1545" width="6.125" customWidth="1"/>
    <col min="1546" max="1546" width="7.125" customWidth="1"/>
    <col min="1547" max="1547" width="5.625" customWidth="1"/>
    <col min="1548" max="1554" width="6.375" customWidth="1"/>
    <col min="1555" max="1555" width="8.625" customWidth="1"/>
    <col min="1556" max="1556" width="7.125" customWidth="1"/>
    <col min="1557" max="1557" width="6.625" customWidth="1"/>
    <col min="1558" max="1558" width="7.125" customWidth="1"/>
    <col min="1559" max="1559" width="7.625" customWidth="1"/>
    <col min="1560" max="1560" width="20.625" customWidth="1"/>
    <col min="1561" max="1561" width="6.625" customWidth="1"/>
    <col min="1562" max="1563" width="7.125" customWidth="1"/>
    <col min="1564" max="1564" width="5.125" customWidth="1"/>
    <col min="1565" max="1565" width="17.625" customWidth="1"/>
    <col min="1794" max="1794" width="3.125" customWidth="1"/>
    <col min="1795" max="1795" width="9.125" customWidth="1"/>
    <col min="1796" max="1796" width="7.125" customWidth="1"/>
    <col min="1797" max="1797" width="15.375" customWidth="1"/>
    <col min="1798" max="1801" width="6.125" customWidth="1"/>
    <col min="1802" max="1802" width="7.125" customWidth="1"/>
    <col min="1803" max="1803" width="5.625" customWidth="1"/>
    <col min="1804" max="1810" width="6.375" customWidth="1"/>
    <col min="1811" max="1811" width="8.625" customWidth="1"/>
    <col min="1812" max="1812" width="7.125" customWidth="1"/>
    <col min="1813" max="1813" width="6.625" customWidth="1"/>
    <col min="1814" max="1814" width="7.125" customWidth="1"/>
    <col min="1815" max="1815" width="7.625" customWidth="1"/>
    <col min="1816" max="1816" width="20.625" customWidth="1"/>
    <col min="1817" max="1817" width="6.625" customWidth="1"/>
    <col min="1818" max="1819" width="7.125" customWidth="1"/>
    <col min="1820" max="1820" width="5.125" customWidth="1"/>
    <col min="1821" max="1821" width="17.625" customWidth="1"/>
    <col min="2050" max="2050" width="3.125" customWidth="1"/>
    <col min="2051" max="2051" width="9.125" customWidth="1"/>
    <col min="2052" max="2052" width="7.125" customWidth="1"/>
    <col min="2053" max="2053" width="15.375" customWidth="1"/>
    <col min="2054" max="2057" width="6.125" customWidth="1"/>
    <col min="2058" max="2058" width="7.125" customWidth="1"/>
    <col min="2059" max="2059" width="5.625" customWidth="1"/>
    <col min="2060" max="2066" width="6.375" customWidth="1"/>
    <col min="2067" max="2067" width="8.625" customWidth="1"/>
    <col min="2068" max="2068" width="7.125" customWidth="1"/>
    <col min="2069" max="2069" width="6.625" customWidth="1"/>
    <col min="2070" max="2070" width="7.125" customWidth="1"/>
    <col min="2071" max="2071" width="7.625" customWidth="1"/>
    <col min="2072" max="2072" width="20.625" customWidth="1"/>
    <col min="2073" max="2073" width="6.625" customWidth="1"/>
    <col min="2074" max="2075" width="7.125" customWidth="1"/>
    <col min="2076" max="2076" width="5.125" customWidth="1"/>
    <col min="2077" max="2077" width="17.625" customWidth="1"/>
    <col min="2306" max="2306" width="3.125" customWidth="1"/>
    <col min="2307" max="2307" width="9.125" customWidth="1"/>
    <col min="2308" max="2308" width="7.125" customWidth="1"/>
    <col min="2309" max="2309" width="15.375" customWidth="1"/>
    <col min="2310" max="2313" width="6.125" customWidth="1"/>
    <col min="2314" max="2314" width="7.125" customWidth="1"/>
    <col min="2315" max="2315" width="5.625" customWidth="1"/>
    <col min="2316" max="2322" width="6.375" customWidth="1"/>
    <col min="2323" max="2323" width="8.625" customWidth="1"/>
    <col min="2324" max="2324" width="7.125" customWidth="1"/>
    <col min="2325" max="2325" width="6.625" customWidth="1"/>
    <col min="2326" max="2326" width="7.125" customWidth="1"/>
    <col min="2327" max="2327" width="7.625" customWidth="1"/>
    <col min="2328" max="2328" width="20.625" customWidth="1"/>
    <col min="2329" max="2329" width="6.625" customWidth="1"/>
    <col min="2330" max="2331" width="7.125" customWidth="1"/>
    <col min="2332" max="2332" width="5.125" customWidth="1"/>
    <col min="2333" max="2333" width="17.625" customWidth="1"/>
    <col min="2562" max="2562" width="3.125" customWidth="1"/>
    <col min="2563" max="2563" width="9.125" customWidth="1"/>
    <col min="2564" max="2564" width="7.125" customWidth="1"/>
    <col min="2565" max="2565" width="15.375" customWidth="1"/>
    <col min="2566" max="2569" width="6.125" customWidth="1"/>
    <col min="2570" max="2570" width="7.125" customWidth="1"/>
    <col min="2571" max="2571" width="5.625" customWidth="1"/>
    <col min="2572" max="2578" width="6.375" customWidth="1"/>
    <col min="2579" max="2579" width="8.625" customWidth="1"/>
    <col min="2580" max="2580" width="7.125" customWidth="1"/>
    <col min="2581" max="2581" width="6.625" customWidth="1"/>
    <col min="2582" max="2582" width="7.125" customWidth="1"/>
    <col min="2583" max="2583" width="7.625" customWidth="1"/>
    <col min="2584" max="2584" width="20.625" customWidth="1"/>
    <col min="2585" max="2585" width="6.625" customWidth="1"/>
    <col min="2586" max="2587" width="7.125" customWidth="1"/>
    <col min="2588" max="2588" width="5.125" customWidth="1"/>
    <col min="2589" max="2589" width="17.625" customWidth="1"/>
    <col min="2818" max="2818" width="3.125" customWidth="1"/>
    <col min="2819" max="2819" width="9.125" customWidth="1"/>
    <col min="2820" max="2820" width="7.125" customWidth="1"/>
    <col min="2821" max="2821" width="15.375" customWidth="1"/>
    <col min="2822" max="2825" width="6.125" customWidth="1"/>
    <col min="2826" max="2826" width="7.125" customWidth="1"/>
    <col min="2827" max="2827" width="5.625" customWidth="1"/>
    <col min="2828" max="2834" width="6.375" customWidth="1"/>
    <col min="2835" max="2835" width="8.625" customWidth="1"/>
    <col min="2836" max="2836" width="7.125" customWidth="1"/>
    <col min="2837" max="2837" width="6.625" customWidth="1"/>
    <col min="2838" max="2838" width="7.125" customWidth="1"/>
    <col min="2839" max="2839" width="7.625" customWidth="1"/>
    <col min="2840" max="2840" width="20.625" customWidth="1"/>
    <col min="2841" max="2841" width="6.625" customWidth="1"/>
    <col min="2842" max="2843" width="7.125" customWidth="1"/>
    <col min="2844" max="2844" width="5.125" customWidth="1"/>
    <col min="2845" max="2845" width="17.625" customWidth="1"/>
    <col min="3074" max="3074" width="3.125" customWidth="1"/>
    <col min="3075" max="3075" width="9.125" customWidth="1"/>
    <col min="3076" max="3076" width="7.125" customWidth="1"/>
    <col min="3077" max="3077" width="15.375" customWidth="1"/>
    <col min="3078" max="3081" width="6.125" customWidth="1"/>
    <col min="3082" max="3082" width="7.125" customWidth="1"/>
    <col min="3083" max="3083" width="5.625" customWidth="1"/>
    <col min="3084" max="3090" width="6.375" customWidth="1"/>
    <col min="3091" max="3091" width="8.625" customWidth="1"/>
    <col min="3092" max="3092" width="7.125" customWidth="1"/>
    <col min="3093" max="3093" width="6.625" customWidth="1"/>
    <col min="3094" max="3094" width="7.125" customWidth="1"/>
    <col min="3095" max="3095" width="7.625" customWidth="1"/>
    <col min="3096" max="3096" width="20.625" customWidth="1"/>
    <col min="3097" max="3097" width="6.625" customWidth="1"/>
    <col min="3098" max="3099" width="7.125" customWidth="1"/>
    <col min="3100" max="3100" width="5.125" customWidth="1"/>
    <col min="3101" max="3101" width="17.625" customWidth="1"/>
    <col min="3330" max="3330" width="3.125" customWidth="1"/>
    <col min="3331" max="3331" width="9.125" customWidth="1"/>
    <col min="3332" max="3332" width="7.125" customWidth="1"/>
    <col min="3333" max="3333" width="15.375" customWidth="1"/>
    <col min="3334" max="3337" width="6.125" customWidth="1"/>
    <col min="3338" max="3338" width="7.125" customWidth="1"/>
    <col min="3339" max="3339" width="5.625" customWidth="1"/>
    <col min="3340" max="3346" width="6.375" customWidth="1"/>
    <col min="3347" max="3347" width="8.625" customWidth="1"/>
    <col min="3348" max="3348" width="7.125" customWidth="1"/>
    <col min="3349" max="3349" width="6.625" customWidth="1"/>
    <col min="3350" max="3350" width="7.125" customWidth="1"/>
    <col min="3351" max="3351" width="7.625" customWidth="1"/>
    <col min="3352" max="3352" width="20.625" customWidth="1"/>
    <col min="3353" max="3353" width="6.625" customWidth="1"/>
    <col min="3354" max="3355" width="7.125" customWidth="1"/>
    <col min="3356" max="3356" width="5.125" customWidth="1"/>
    <col min="3357" max="3357" width="17.625" customWidth="1"/>
    <col min="3586" max="3586" width="3.125" customWidth="1"/>
    <col min="3587" max="3587" width="9.125" customWidth="1"/>
    <col min="3588" max="3588" width="7.125" customWidth="1"/>
    <col min="3589" max="3589" width="15.375" customWidth="1"/>
    <col min="3590" max="3593" width="6.125" customWidth="1"/>
    <col min="3594" max="3594" width="7.125" customWidth="1"/>
    <col min="3595" max="3595" width="5.625" customWidth="1"/>
    <col min="3596" max="3602" width="6.375" customWidth="1"/>
    <col min="3603" max="3603" width="8.625" customWidth="1"/>
    <col min="3604" max="3604" width="7.125" customWidth="1"/>
    <col min="3605" max="3605" width="6.625" customWidth="1"/>
    <col min="3606" max="3606" width="7.125" customWidth="1"/>
    <col min="3607" max="3607" width="7.625" customWidth="1"/>
    <col min="3608" max="3608" width="20.625" customWidth="1"/>
    <col min="3609" max="3609" width="6.625" customWidth="1"/>
    <col min="3610" max="3611" width="7.125" customWidth="1"/>
    <col min="3612" max="3612" width="5.125" customWidth="1"/>
    <col min="3613" max="3613" width="17.625" customWidth="1"/>
    <col min="3842" max="3842" width="3.125" customWidth="1"/>
    <col min="3843" max="3843" width="9.125" customWidth="1"/>
    <col min="3844" max="3844" width="7.125" customWidth="1"/>
    <col min="3845" max="3845" width="15.375" customWidth="1"/>
    <col min="3846" max="3849" width="6.125" customWidth="1"/>
    <col min="3850" max="3850" width="7.125" customWidth="1"/>
    <col min="3851" max="3851" width="5.625" customWidth="1"/>
    <col min="3852" max="3858" width="6.375" customWidth="1"/>
    <col min="3859" max="3859" width="8.625" customWidth="1"/>
    <col min="3860" max="3860" width="7.125" customWidth="1"/>
    <col min="3861" max="3861" width="6.625" customWidth="1"/>
    <col min="3862" max="3862" width="7.125" customWidth="1"/>
    <col min="3863" max="3863" width="7.625" customWidth="1"/>
    <col min="3864" max="3864" width="20.625" customWidth="1"/>
    <col min="3865" max="3865" width="6.625" customWidth="1"/>
    <col min="3866" max="3867" width="7.125" customWidth="1"/>
    <col min="3868" max="3868" width="5.125" customWidth="1"/>
    <col min="3869" max="3869" width="17.625" customWidth="1"/>
    <col min="4098" max="4098" width="3.125" customWidth="1"/>
    <col min="4099" max="4099" width="9.125" customWidth="1"/>
    <col min="4100" max="4100" width="7.125" customWidth="1"/>
    <col min="4101" max="4101" width="15.375" customWidth="1"/>
    <col min="4102" max="4105" width="6.125" customWidth="1"/>
    <col min="4106" max="4106" width="7.125" customWidth="1"/>
    <col min="4107" max="4107" width="5.625" customWidth="1"/>
    <col min="4108" max="4114" width="6.375" customWidth="1"/>
    <col min="4115" max="4115" width="8.625" customWidth="1"/>
    <col min="4116" max="4116" width="7.125" customWidth="1"/>
    <col min="4117" max="4117" width="6.625" customWidth="1"/>
    <col min="4118" max="4118" width="7.125" customWidth="1"/>
    <col min="4119" max="4119" width="7.625" customWidth="1"/>
    <col min="4120" max="4120" width="20.625" customWidth="1"/>
    <col min="4121" max="4121" width="6.625" customWidth="1"/>
    <col min="4122" max="4123" width="7.125" customWidth="1"/>
    <col min="4124" max="4124" width="5.125" customWidth="1"/>
    <col min="4125" max="4125" width="17.625" customWidth="1"/>
    <col min="4354" max="4354" width="3.125" customWidth="1"/>
    <col min="4355" max="4355" width="9.125" customWidth="1"/>
    <col min="4356" max="4356" width="7.125" customWidth="1"/>
    <col min="4357" max="4357" width="15.375" customWidth="1"/>
    <col min="4358" max="4361" width="6.125" customWidth="1"/>
    <col min="4362" max="4362" width="7.125" customWidth="1"/>
    <col min="4363" max="4363" width="5.625" customWidth="1"/>
    <col min="4364" max="4370" width="6.375" customWidth="1"/>
    <col min="4371" max="4371" width="8.625" customWidth="1"/>
    <col min="4372" max="4372" width="7.125" customWidth="1"/>
    <col min="4373" max="4373" width="6.625" customWidth="1"/>
    <col min="4374" max="4374" width="7.125" customWidth="1"/>
    <col min="4375" max="4375" width="7.625" customWidth="1"/>
    <col min="4376" max="4376" width="20.625" customWidth="1"/>
    <col min="4377" max="4377" width="6.625" customWidth="1"/>
    <col min="4378" max="4379" width="7.125" customWidth="1"/>
    <col min="4380" max="4380" width="5.125" customWidth="1"/>
    <col min="4381" max="4381" width="17.625" customWidth="1"/>
    <col min="4610" max="4610" width="3.125" customWidth="1"/>
    <col min="4611" max="4611" width="9.125" customWidth="1"/>
    <col min="4612" max="4612" width="7.125" customWidth="1"/>
    <col min="4613" max="4613" width="15.375" customWidth="1"/>
    <col min="4614" max="4617" width="6.125" customWidth="1"/>
    <col min="4618" max="4618" width="7.125" customWidth="1"/>
    <col min="4619" max="4619" width="5.625" customWidth="1"/>
    <col min="4620" max="4626" width="6.375" customWidth="1"/>
    <col min="4627" max="4627" width="8.625" customWidth="1"/>
    <col min="4628" max="4628" width="7.125" customWidth="1"/>
    <col min="4629" max="4629" width="6.625" customWidth="1"/>
    <col min="4630" max="4630" width="7.125" customWidth="1"/>
    <col min="4631" max="4631" width="7.625" customWidth="1"/>
    <col min="4632" max="4632" width="20.625" customWidth="1"/>
    <col min="4633" max="4633" width="6.625" customWidth="1"/>
    <col min="4634" max="4635" width="7.125" customWidth="1"/>
    <col min="4636" max="4636" width="5.125" customWidth="1"/>
    <col min="4637" max="4637" width="17.625" customWidth="1"/>
    <col min="4866" max="4866" width="3.125" customWidth="1"/>
    <col min="4867" max="4867" width="9.125" customWidth="1"/>
    <col min="4868" max="4868" width="7.125" customWidth="1"/>
    <col min="4869" max="4869" width="15.375" customWidth="1"/>
    <col min="4870" max="4873" width="6.125" customWidth="1"/>
    <col min="4874" max="4874" width="7.125" customWidth="1"/>
    <col min="4875" max="4875" width="5.625" customWidth="1"/>
    <col min="4876" max="4882" width="6.375" customWidth="1"/>
    <col min="4883" max="4883" width="8.625" customWidth="1"/>
    <col min="4884" max="4884" width="7.125" customWidth="1"/>
    <col min="4885" max="4885" width="6.625" customWidth="1"/>
    <col min="4886" max="4886" width="7.125" customWidth="1"/>
    <col min="4887" max="4887" width="7.625" customWidth="1"/>
    <col min="4888" max="4888" width="20.625" customWidth="1"/>
    <col min="4889" max="4889" width="6.625" customWidth="1"/>
    <col min="4890" max="4891" width="7.125" customWidth="1"/>
    <col min="4892" max="4892" width="5.125" customWidth="1"/>
    <col min="4893" max="4893" width="17.625" customWidth="1"/>
    <col min="5122" max="5122" width="3.125" customWidth="1"/>
    <col min="5123" max="5123" width="9.125" customWidth="1"/>
    <col min="5124" max="5124" width="7.125" customWidth="1"/>
    <col min="5125" max="5125" width="15.375" customWidth="1"/>
    <col min="5126" max="5129" width="6.125" customWidth="1"/>
    <col min="5130" max="5130" width="7.125" customWidth="1"/>
    <col min="5131" max="5131" width="5.625" customWidth="1"/>
    <col min="5132" max="5138" width="6.375" customWidth="1"/>
    <col min="5139" max="5139" width="8.625" customWidth="1"/>
    <col min="5140" max="5140" width="7.125" customWidth="1"/>
    <col min="5141" max="5141" width="6.625" customWidth="1"/>
    <col min="5142" max="5142" width="7.125" customWidth="1"/>
    <col min="5143" max="5143" width="7.625" customWidth="1"/>
    <col min="5144" max="5144" width="20.625" customWidth="1"/>
    <col min="5145" max="5145" width="6.625" customWidth="1"/>
    <col min="5146" max="5147" width="7.125" customWidth="1"/>
    <col min="5148" max="5148" width="5.125" customWidth="1"/>
    <col min="5149" max="5149" width="17.625" customWidth="1"/>
    <col min="5378" max="5378" width="3.125" customWidth="1"/>
    <col min="5379" max="5379" width="9.125" customWidth="1"/>
    <col min="5380" max="5380" width="7.125" customWidth="1"/>
    <col min="5381" max="5381" width="15.375" customWidth="1"/>
    <col min="5382" max="5385" width="6.125" customWidth="1"/>
    <col min="5386" max="5386" width="7.125" customWidth="1"/>
    <col min="5387" max="5387" width="5.625" customWidth="1"/>
    <col min="5388" max="5394" width="6.375" customWidth="1"/>
    <col min="5395" max="5395" width="8.625" customWidth="1"/>
    <col min="5396" max="5396" width="7.125" customWidth="1"/>
    <col min="5397" max="5397" width="6.625" customWidth="1"/>
    <col min="5398" max="5398" width="7.125" customWidth="1"/>
    <col min="5399" max="5399" width="7.625" customWidth="1"/>
    <col min="5400" max="5400" width="20.625" customWidth="1"/>
    <col min="5401" max="5401" width="6.625" customWidth="1"/>
    <col min="5402" max="5403" width="7.125" customWidth="1"/>
    <col min="5404" max="5404" width="5.125" customWidth="1"/>
    <col min="5405" max="5405" width="17.625" customWidth="1"/>
    <col min="5634" max="5634" width="3.125" customWidth="1"/>
    <col min="5635" max="5635" width="9.125" customWidth="1"/>
    <col min="5636" max="5636" width="7.125" customWidth="1"/>
    <col min="5637" max="5637" width="15.375" customWidth="1"/>
    <col min="5638" max="5641" width="6.125" customWidth="1"/>
    <col min="5642" max="5642" width="7.125" customWidth="1"/>
    <col min="5643" max="5643" width="5.625" customWidth="1"/>
    <col min="5644" max="5650" width="6.375" customWidth="1"/>
    <col min="5651" max="5651" width="8.625" customWidth="1"/>
    <col min="5652" max="5652" width="7.125" customWidth="1"/>
    <col min="5653" max="5653" width="6.625" customWidth="1"/>
    <col min="5654" max="5654" width="7.125" customWidth="1"/>
    <col min="5655" max="5655" width="7.625" customWidth="1"/>
    <col min="5656" max="5656" width="20.625" customWidth="1"/>
    <col min="5657" max="5657" width="6.625" customWidth="1"/>
    <col min="5658" max="5659" width="7.125" customWidth="1"/>
    <col min="5660" max="5660" width="5.125" customWidth="1"/>
    <col min="5661" max="5661" width="17.625" customWidth="1"/>
    <col min="5890" max="5890" width="3.125" customWidth="1"/>
    <col min="5891" max="5891" width="9.125" customWidth="1"/>
    <col min="5892" max="5892" width="7.125" customWidth="1"/>
    <col min="5893" max="5893" width="15.375" customWidth="1"/>
    <col min="5894" max="5897" width="6.125" customWidth="1"/>
    <col min="5898" max="5898" width="7.125" customWidth="1"/>
    <col min="5899" max="5899" width="5.625" customWidth="1"/>
    <col min="5900" max="5906" width="6.375" customWidth="1"/>
    <col min="5907" max="5907" width="8.625" customWidth="1"/>
    <col min="5908" max="5908" width="7.125" customWidth="1"/>
    <col min="5909" max="5909" width="6.625" customWidth="1"/>
    <col min="5910" max="5910" width="7.125" customWidth="1"/>
    <col min="5911" max="5911" width="7.625" customWidth="1"/>
    <col min="5912" max="5912" width="20.625" customWidth="1"/>
    <col min="5913" max="5913" width="6.625" customWidth="1"/>
    <col min="5914" max="5915" width="7.125" customWidth="1"/>
    <col min="5916" max="5916" width="5.125" customWidth="1"/>
    <col min="5917" max="5917" width="17.625" customWidth="1"/>
    <col min="6146" max="6146" width="3.125" customWidth="1"/>
    <col min="6147" max="6147" width="9.125" customWidth="1"/>
    <col min="6148" max="6148" width="7.125" customWidth="1"/>
    <col min="6149" max="6149" width="15.375" customWidth="1"/>
    <col min="6150" max="6153" width="6.125" customWidth="1"/>
    <col min="6154" max="6154" width="7.125" customWidth="1"/>
    <col min="6155" max="6155" width="5.625" customWidth="1"/>
    <col min="6156" max="6162" width="6.375" customWidth="1"/>
    <col min="6163" max="6163" width="8.625" customWidth="1"/>
    <col min="6164" max="6164" width="7.125" customWidth="1"/>
    <col min="6165" max="6165" width="6.625" customWidth="1"/>
    <col min="6166" max="6166" width="7.125" customWidth="1"/>
    <col min="6167" max="6167" width="7.625" customWidth="1"/>
    <col min="6168" max="6168" width="20.625" customWidth="1"/>
    <col min="6169" max="6169" width="6.625" customWidth="1"/>
    <col min="6170" max="6171" width="7.125" customWidth="1"/>
    <col min="6172" max="6172" width="5.125" customWidth="1"/>
    <col min="6173" max="6173" width="17.625" customWidth="1"/>
    <col min="6402" max="6402" width="3.125" customWidth="1"/>
    <col min="6403" max="6403" width="9.125" customWidth="1"/>
    <col min="6404" max="6404" width="7.125" customWidth="1"/>
    <col min="6405" max="6405" width="15.375" customWidth="1"/>
    <col min="6406" max="6409" width="6.125" customWidth="1"/>
    <col min="6410" max="6410" width="7.125" customWidth="1"/>
    <col min="6411" max="6411" width="5.625" customWidth="1"/>
    <col min="6412" max="6418" width="6.375" customWidth="1"/>
    <col min="6419" max="6419" width="8.625" customWidth="1"/>
    <col min="6420" max="6420" width="7.125" customWidth="1"/>
    <col min="6421" max="6421" width="6.625" customWidth="1"/>
    <col min="6422" max="6422" width="7.125" customWidth="1"/>
    <col min="6423" max="6423" width="7.625" customWidth="1"/>
    <col min="6424" max="6424" width="20.625" customWidth="1"/>
    <col min="6425" max="6425" width="6.625" customWidth="1"/>
    <col min="6426" max="6427" width="7.125" customWidth="1"/>
    <col min="6428" max="6428" width="5.125" customWidth="1"/>
    <col min="6429" max="6429" width="17.625" customWidth="1"/>
    <col min="6658" max="6658" width="3.125" customWidth="1"/>
    <col min="6659" max="6659" width="9.125" customWidth="1"/>
    <col min="6660" max="6660" width="7.125" customWidth="1"/>
    <col min="6661" max="6661" width="15.375" customWidth="1"/>
    <col min="6662" max="6665" width="6.125" customWidth="1"/>
    <col min="6666" max="6666" width="7.125" customWidth="1"/>
    <col min="6667" max="6667" width="5.625" customWidth="1"/>
    <col min="6668" max="6674" width="6.375" customWidth="1"/>
    <col min="6675" max="6675" width="8.625" customWidth="1"/>
    <col min="6676" max="6676" width="7.125" customWidth="1"/>
    <col min="6677" max="6677" width="6.625" customWidth="1"/>
    <col min="6678" max="6678" width="7.125" customWidth="1"/>
    <col min="6679" max="6679" width="7.625" customWidth="1"/>
    <col min="6680" max="6680" width="20.625" customWidth="1"/>
    <col min="6681" max="6681" width="6.625" customWidth="1"/>
    <col min="6682" max="6683" width="7.125" customWidth="1"/>
    <col min="6684" max="6684" width="5.125" customWidth="1"/>
    <col min="6685" max="6685" width="17.625" customWidth="1"/>
    <col min="6914" max="6914" width="3.125" customWidth="1"/>
    <col min="6915" max="6915" width="9.125" customWidth="1"/>
    <col min="6916" max="6916" width="7.125" customWidth="1"/>
    <col min="6917" max="6917" width="15.375" customWidth="1"/>
    <col min="6918" max="6921" width="6.125" customWidth="1"/>
    <col min="6922" max="6922" width="7.125" customWidth="1"/>
    <col min="6923" max="6923" width="5.625" customWidth="1"/>
    <col min="6924" max="6930" width="6.375" customWidth="1"/>
    <col min="6931" max="6931" width="8.625" customWidth="1"/>
    <col min="6932" max="6932" width="7.125" customWidth="1"/>
    <col min="6933" max="6933" width="6.625" customWidth="1"/>
    <col min="6934" max="6934" width="7.125" customWidth="1"/>
    <col min="6935" max="6935" width="7.625" customWidth="1"/>
    <col min="6936" max="6936" width="20.625" customWidth="1"/>
    <col min="6937" max="6937" width="6.625" customWidth="1"/>
    <col min="6938" max="6939" width="7.125" customWidth="1"/>
    <col min="6940" max="6940" width="5.125" customWidth="1"/>
    <col min="6941" max="6941" width="17.625" customWidth="1"/>
    <col min="7170" max="7170" width="3.125" customWidth="1"/>
    <col min="7171" max="7171" width="9.125" customWidth="1"/>
    <col min="7172" max="7172" width="7.125" customWidth="1"/>
    <col min="7173" max="7173" width="15.375" customWidth="1"/>
    <col min="7174" max="7177" width="6.125" customWidth="1"/>
    <col min="7178" max="7178" width="7.125" customWidth="1"/>
    <col min="7179" max="7179" width="5.625" customWidth="1"/>
    <col min="7180" max="7186" width="6.375" customWidth="1"/>
    <col min="7187" max="7187" width="8.625" customWidth="1"/>
    <col min="7188" max="7188" width="7.125" customWidth="1"/>
    <col min="7189" max="7189" width="6.625" customWidth="1"/>
    <col min="7190" max="7190" width="7.125" customWidth="1"/>
    <col min="7191" max="7191" width="7.625" customWidth="1"/>
    <col min="7192" max="7192" width="20.625" customWidth="1"/>
    <col min="7193" max="7193" width="6.625" customWidth="1"/>
    <col min="7194" max="7195" width="7.125" customWidth="1"/>
    <col min="7196" max="7196" width="5.125" customWidth="1"/>
    <col min="7197" max="7197" width="17.625" customWidth="1"/>
    <col min="7426" max="7426" width="3.125" customWidth="1"/>
    <col min="7427" max="7427" width="9.125" customWidth="1"/>
    <col min="7428" max="7428" width="7.125" customWidth="1"/>
    <col min="7429" max="7429" width="15.375" customWidth="1"/>
    <col min="7430" max="7433" width="6.125" customWidth="1"/>
    <col min="7434" max="7434" width="7.125" customWidth="1"/>
    <col min="7435" max="7435" width="5.625" customWidth="1"/>
    <col min="7436" max="7442" width="6.375" customWidth="1"/>
    <col min="7443" max="7443" width="8.625" customWidth="1"/>
    <col min="7444" max="7444" width="7.125" customWidth="1"/>
    <col min="7445" max="7445" width="6.625" customWidth="1"/>
    <col min="7446" max="7446" width="7.125" customWidth="1"/>
    <col min="7447" max="7447" width="7.625" customWidth="1"/>
    <col min="7448" max="7448" width="20.625" customWidth="1"/>
    <col min="7449" max="7449" width="6.625" customWidth="1"/>
    <col min="7450" max="7451" width="7.125" customWidth="1"/>
    <col min="7452" max="7452" width="5.125" customWidth="1"/>
    <col min="7453" max="7453" width="17.625" customWidth="1"/>
    <col min="7682" max="7682" width="3.125" customWidth="1"/>
    <col min="7683" max="7683" width="9.125" customWidth="1"/>
    <col min="7684" max="7684" width="7.125" customWidth="1"/>
    <col min="7685" max="7685" width="15.375" customWidth="1"/>
    <col min="7686" max="7689" width="6.125" customWidth="1"/>
    <col min="7690" max="7690" width="7.125" customWidth="1"/>
    <col min="7691" max="7691" width="5.625" customWidth="1"/>
    <col min="7692" max="7698" width="6.375" customWidth="1"/>
    <col min="7699" max="7699" width="8.625" customWidth="1"/>
    <col min="7700" max="7700" width="7.125" customWidth="1"/>
    <col min="7701" max="7701" width="6.625" customWidth="1"/>
    <col min="7702" max="7702" width="7.125" customWidth="1"/>
    <col min="7703" max="7703" width="7.625" customWidth="1"/>
    <col min="7704" max="7704" width="20.625" customWidth="1"/>
    <col min="7705" max="7705" width="6.625" customWidth="1"/>
    <col min="7706" max="7707" width="7.125" customWidth="1"/>
    <col min="7708" max="7708" width="5.125" customWidth="1"/>
    <col min="7709" max="7709" width="17.625" customWidth="1"/>
    <col min="7938" max="7938" width="3.125" customWidth="1"/>
    <col min="7939" max="7939" width="9.125" customWidth="1"/>
    <col min="7940" max="7940" width="7.125" customWidth="1"/>
    <col min="7941" max="7941" width="15.375" customWidth="1"/>
    <col min="7942" max="7945" width="6.125" customWidth="1"/>
    <col min="7946" max="7946" width="7.125" customWidth="1"/>
    <col min="7947" max="7947" width="5.625" customWidth="1"/>
    <col min="7948" max="7954" width="6.375" customWidth="1"/>
    <col min="7955" max="7955" width="8.625" customWidth="1"/>
    <col min="7956" max="7956" width="7.125" customWidth="1"/>
    <col min="7957" max="7957" width="6.625" customWidth="1"/>
    <col min="7958" max="7958" width="7.125" customWidth="1"/>
    <col min="7959" max="7959" width="7.625" customWidth="1"/>
    <col min="7960" max="7960" width="20.625" customWidth="1"/>
    <col min="7961" max="7961" width="6.625" customWidth="1"/>
    <col min="7962" max="7963" width="7.125" customWidth="1"/>
    <col min="7964" max="7964" width="5.125" customWidth="1"/>
    <col min="7965" max="7965" width="17.625" customWidth="1"/>
    <col min="8194" max="8194" width="3.125" customWidth="1"/>
    <col min="8195" max="8195" width="9.125" customWidth="1"/>
    <col min="8196" max="8196" width="7.125" customWidth="1"/>
    <col min="8197" max="8197" width="15.375" customWidth="1"/>
    <col min="8198" max="8201" width="6.125" customWidth="1"/>
    <col min="8202" max="8202" width="7.125" customWidth="1"/>
    <col min="8203" max="8203" width="5.625" customWidth="1"/>
    <col min="8204" max="8210" width="6.375" customWidth="1"/>
    <col min="8211" max="8211" width="8.625" customWidth="1"/>
    <col min="8212" max="8212" width="7.125" customWidth="1"/>
    <col min="8213" max="8213" width="6.625" customWidth="1"/>
    <col min="8214" max="8214" width="7.125" customWidth="1"/>
    <col min="8215" max="8215" width="7.625" customWidth="1"/>
    <col min="8216" max="8216" width="20.625" customWidth="1"/>
    <col min="8217" max="8217" width="6.625" customWidth="1"/>
    <col min="8218" max="8219" width="7.125" customWidth="1"/>
    <col min="8220" max="8220" width="5.125" customWidth="1"/>
    <col min="8221" max="8221" width="17.625" customWidth="1"/>
    <col min="8450" max="8450" width="3.125" customWidth="1"/>
    <col min="8451" max="8451" width="9.125" customWidth="1"/>
    <col min="8452" max="8452" width="7.125" customWidth="1"/>
    <col min="8453" max="8453" width="15.375" customWidth="1"/>
    <col min="8454" max="8457" width="6.125" customWidth="1"/>
    <col min="8458" max="8458" width="7.125" customWidth="1"/>
    <col min="8459" max="8459" width="5.625" customWidth="1"/>
    <col min="8460" max="8466" width="6.375" customWidth="1"/>
    <col min="8467" max="8467" width="8.625" customWidth="1"/>
    <col min="8468" max="8468" width="7.125" customWidth="1"/>
    <col min="8469" max="8469" width="6.625" customWidth="1"/>
    <col min="8470" max="8470" width="7.125" customWidth="1"/>
    <col min="8471" max="8471" width="7.625" customWidth="1"/>
    <col min="8472" max="8472" width="20.625" customWidth="1"/>
    <col min="8473" max="8473" width="6.625" customWidth="1"/>
    <col min="8474" max="8475" width="7.125" customWidth="1"/>
    <col min="8476" max="8476" width="5.125" customWidth="1"/>
    <col min="8477" max="8477" width="17.625" customWidth="1"/>
    <col min="8706" max="8706" width="3.125" customWidth="1"/>
    <col min="8707" max="8707" width="9.125" customWidth="1"/>
    <col min="8708" max="8708" width="7.125" customWidth="1"/>
    <col min="8709" max="8709" width="15.375" customWidth="1"/>
    <col min="8710" max="8713" width="6.125" customWidth="1"/>
    <col min="8714" max="8714" width="7.125" customWidth="1"/>
    <col min="8715" max="8715" width="5.625" customWidth="1"/>
    <col min="8716" max="8722" width="6.375" customWidth="1"/>
    <col min="8723" max="8723" width="8.625" customWidth="1"/>
    <col min="8724" max="8724" width="7.125" customWidth="1"/>
    <col min="8725" max="8725" width="6.625" customWidth="1"/>
    <col min="8726" max="8726" width="7.125" customWidth="1"/>
    <col min="8727" max="8727" width="7.625" customWidth="1"/>
    <col min="8728" max="8728" width="20.625" customWidth="1"/>
    <col min="8729" max="8729" width="6.625" customWidth="1"/>
    <col min="8730" max="8731" width="7.125" customWidth="1"/>
    <col min="8732" max="8732" width="5.125" customWidth="1"/>
    <col min="8733" max="8733" width="17.625" customWidth="1"/>
    <col min="8962" max="8962" width="3.125" customWidth="1"/>
    <col min="8963" max="8963" width="9.125" customWidth="1"/>
    <col min="8964" max="8964" width="7.125" customWidth="1"/>
    <col min="8965" max="8965" width="15.375" customWidth="1"/>
    <col min="8966" max="8969" width="6.125" customWidth="1"/>
    <col min="8970" max="8970" width="7.125" customWidth="1"/>
    <col min="8971" max="8971" width="5.625" customWidth="1"/>
    <col min="8972" max="8978" width="6.375" customWidth="1"/>
    <col min="8979" max="8979" width="8.625" customWidth="1"/>
    <col min="8980" max="8980" width="7.125" customWidth="1"/>
    <col min="8981" max="8981" width="6.625" customWidth="1"/>
    <col min="8982" max="8982" width="7.125" customWidth="1"/>
    <col min="8983" max="8983" width="7.625" customWidth="1"/>
    <col min="8984" max="8984" width="20.625" customWidth="1"/>
    <col min="8985" max="8985" width="6.625" customWidth="1"/>
    <col min="8986" max="8987" width="7.125" customWidth="1"/>
    <col min="8988" max="8988" width="5.125" customWidth="1"/>
    <col min="8989" max="8989" width="17.625" customWidth="1"/>
    <col min="9218" max="9218" width="3.125" customWidth="1"/>
    <col min="9219" max="9219" width="9.125" customWidth="1"/>
    <col min="9220" max="9220" width="7.125" customWidth="1"/>
    <col min="9221" max="9221" width="15.375" customWidth="1"/>
    <col min="9222" max="9225" width="6.125" customWidth="1"/>
    <col min="9226" max="9226" width="7.125" customWidth="1"/>
    <col min="9227" max="9227" width="5.625" customWidth="1"/>
    <col min="9228" max="9234" width="6.375" customWidth="1"/>
    <col min="9235" max="9235" width="8.625" customWidth="1"/>
    <col min="9236" max="9236" width="7.125" customWidth="1"/>
    <col min="9237" max="9237" width="6.625" customWidth="1"/>
    <col min="9238" max="9238" width="7.125" customWidth="1"/>
    <col min="9239" max="9239" width="7.625" customWidth="1"/>
    <col min="9240" max="9240" width="20.625" customWidth="1"/>
    <col min="9241" max="9241" width="6.625" customWidth="1"/>
    <col min="9242" max="9243" width="7.125" customWidth="1"/>
    <col min="9244" max="9244" width="5.125" customWidth="1"/>
    <col min="9245" max="9245" width="17.625" customWidth="1"/>
    <col min="9474" max="9474" width="3.125" customWidth="1"/>
    <col min="9475" max="9475" width="9.125" customWidth="1"/>
    <col min="9476" max="9476" width="7.125" customWidth="1"/>
    <col min="9477" max="9477" width="15.375" customWidth="1"/>
    <col min="9478" max="9481" width="6.125" customWidth="1"/>
    <col min="9482" max="9482" width="7.125" customWidth="1"/>
    <col min="9483" max="9483" width="5.625" customWidth="1"/>
    <col min="9484" max="9490" width="6.375" customWidth="1"/>
    <col min="9491" max="9491" width="8.625" customWidth="1"/>
    <col min="9492" max="9492" width="7.125" customWidth="1"/>
    <col min="9493" max="9493" width="6.625" customWidth="1"/>
    <col min="9494" max="9494" width="7.125" customWidth="1"/>
    <col min="9495" max="9495" width="7.625" customWidth="1"/>
    <col min="9496" max="9496" width="20.625" customWidth="1"/>
    <col min="9497" max="9497" width="6.625" customWidth="1"/>
    <col min="9498" max="9499" width="7.125" customWidth="1"/>
    <col min="9500" max="9500" width="5.125" customWidth="1"/>
    <col min="9501" max="9501" width="17.625" customWidth="1"/>
    <col min="9730" max="9730" width="3.125" customWidth="1"/>
    <col min="9731" max="9731" width="9.125" customWidth="1"/>
    <col min="9732" max="9732" width="7.125" customWidth="1"/>
    <col min="9733" max="9733" width="15.375" customWidth="1"/>
    <col min="9734" max="9737" width="6.125" customWidth="1"/>
    <col min="9738" max="9738" width="7.125" customWidth="1"/>
    <col min="9739" max="9739" width="5.625" customWidth="1"/>
    <col min="9740" max="9746" width="6.375" customWidth="1"/>
    <col min="9747" max="9747" width="8.625" customWidth="1"/>
    <col min="9748" max="9748" width="7.125" customWidth="1"/>
    <col min="9749" max="9749" width="6.625" customWidth="1"/>
    <col min="9750" max="9750" width="7.125" customWidth="1"/>
    <col min="9751" max="9751" width="7.625" customWidth="1"/>
    <col min="9752" max="9752" width="20.625" customWidth="1"/>
    <col min="9753" max="9753" width="6.625" customWidth="1"/>
    <col min="9754" max="9755" width="7.125" customWidth="1"/>
    <col min="9756" max="9756" width="5.125" customWidth="1"/>
    <col min="9757" max="9757" width="17.625" customWidth="1"/>
    <col min="9986" max="9986" width="3.125" customWidth="1"/>
    <col min="9987" max="9987" width="9.125" customWidth="1"/>
    <col min="9988" max="9988" width="7.125" customWidth="1"/>
    <col min="9989" max="9989" width="15.375" customWidth="1"/>
    <col min="9990" max="9993" width="6.125" customWidth="1"/>
    <col min="9994" max="9994" width="7.125" customWidth="1"/>
    <col min="9995" max="9995" width="5.625" customWidth="1"/>
    <col min="9996" max="10002" width="6.375" customWidth="1"/>
    <col min="10003" max="10003" width="8.625" customWidth="1"/>
    <col min="10004" max="10004" width="7.125" customWidth="1"/>
    <col min="10005" max="10005" width="6.625" customWidth="1"/>
    <col min="10006" max="10006" width="7.125" customWidth="1"/>
    <col min="10007" max="10007" width="7.625" customWidth="1"/>
    <col min="10008" max="10008" width="20.625" customWidth="1"/>
    <col min="10009" max="10009" width="6.625" customWidth="1"/>
    <col min="10010" max="10011" width="7.125" customWidth="1"/>
    <col min="10012" max="10012" width="5.125" customWidth="1"/>
    <col min="10013" max="10013" width="17.625" customWidth="1"/>
    <col min="10242" max="10242" width="3.125" customWidth="1"/>
    <col min="10243" max="10243" width="9.125" customWidth="1"/>
    <col min="10244" max="10244" width="7.125" customWidth="1"/>
    <col min="10245" max="10245" width="15.375" customWidth="1"/>
    <col min="10246" max="10249" width="6.125" customWidth="1"/>
    <col min="10250" max="10250" width="7.125" customWidth="1"/>
    <col min="10251" max="10251" width="5.625" customWidth="1"/>
    <col min="10252" max="10258" width="6.375" customWidth="1"/>
    <col min="10259" max="10259" width="8.625" customWidth="1"/>
    <col min="10260" max="10260" width="7.125" customWidth="1"/>
    <col min="10261" max="10261" width="6.625" customWidth="1"/>
    <col min="10262" max="10262" width="7.125" customWidth="1"/>
    <col min="10263" max="10263" width="7.625" customWidth="1"/>
    <col min="10264" max="10264" width="20.625" customWidth="1"/>
    <col min="10265" max="10265" width="6.625" customWidth="1"/>
    <col min="10266" max="10267" width="7.125" customWidth="1"/>
    <col min="10268" max="10268" width="5.125" customWidth="1"/>
    <col min="10269" max="10269" width="17.625" customWidth="1"/>
    <col min="10498" max="10498" width="3.125" customWidth="1"/>
    <col min="10499" max="10499" width="9.125" customWidth="1"/>
    <col min="10500" max="10500" width="7.125" customWidth="1"/>
    <col min="10501" max="10501" width="15.375" customWidth="1"/>
    <col min="10502" max="10505" width="6.125" customWidth="1"/>
    <col min="10506" max="10506" width="7.125" customWidth="1"/>
    <col min="10507" max="10507" width="5.625" customWidth="1"/>
    <col min="10508" max="10514" width="6.375" customWidth="1"/>
    <col min="10515" max="10515" width="8.625" customWidth="1"/>
    <col min="10516" max="10516" width="7.125" customWidth="1"/>
    <col min="10517" max="10517" width="6.625" customWidth="1"/>
    <col min="10518" max="10518" width="7.125" customWidth="1"/>
    <col min="10519" max="10519" width="7.625" customWidth="1"/>
    <col min="10520" max="10520" width="20.625" customWidth="1"/>
    <col min="10521" max="10521" width="6.625" customWidth="1"/>
    <col min="10522" max="10523" width="7.125" customWidth="1"/>
    <col min="10524" max="10524" width="5.125" customWidth="1"/>
    <col min="10525" max="10525" width="17.625" customWidth="1"/>
    <col min="10754" max="10754" width="3.125" customWidth="1"/>
    <col min="10755" max="10755" width="9.125" customWidth="1"/>
    <col min="10756" max="10756" width="7.125" customWidth="1"/>
    <col min="10757" max="10757" width="15.375" customWidth="1"/>
    <col min="10758" max="10761" width="6.125" customWidth="1"/>
    <col min="10762" max="10762" width="7.125" customWidth="1"/>
    <col min="10763" max="10763" width="5.625" customWidth="1"/>
    <col min="10764" max="10770" width="6.375" customWidth="1"/>
    <col min="10771" max="10771" width="8.625" customWidth="1"/>
    <col min="10772" max="10772" width="7.125" customWidth="1"/>
    <col min="10773" max="10773" width="6.625" customWidth="1"/>
    <col min="10774" max="10774" width="7.125" customWidth="1"/>
    <col min="10775" max="10775" width="7.625" customWidth="1"/>
    <col min="10776" max="10776" width="20.625" customWidth="1"/>
    <col min="10777" max="10777" width="6.625" customWidth="1"/>
    <col min="10778" max="10779" width="7.125" customWidth="1"/>
    <col min="10780" max="10780" width="5.125" customWidth="1"/>
    <col min="10781" max="10781" width="17.625" customWidth="1"/>
    <col min="11010" max="11010" width="3.125" customWidth="1"/>
    <col min="11011" max="11011" width="9.125" customWidth="1"/>
    <col min="11012" max="11012" width="7.125" customWidth="1"/>
    <col min="11013" max="11013" width="15.375" customWidth="1"/>
    <col min="11014" max="11017" width="6.125" customWidth="1"/>
    <col min="11018" max="11018" width="7.125" customWidth="1"/>
    <col min="11019" max="11019" width="5.625" customWidth="1"/>
    <col min="11020" max="11026" width="6.375" customWidth="1"/>
    <col min="11027" max="11027" width="8.625" customWidth="1"/>
    <col min="11028" max="11028" width="7.125" customWidth="1"/>
    <col min="11029" max="11029" width="6.625" customWidth="1"/>
    <col min="11030" max="11030" width="7.125" customWidth="1"/>
    <col min="11031" max="11031" width="7.625" customWidth="1"/>
    <col min="11032" max="11032" width="20.625" customWidth="1"/>
    <col min="11033" max="11033" width="6.625" customWidth="1"/>
    <col min="11034" max="11035" width="7.125" customWidth="1"/>
    <col min="11036" max="11036" width="5.125" customWidth="1"/>
    <col min="11037" max="11037" width="17.625" customWidth="1"/>
    <col min="11266" max="11266" width="3.125" customWidth="1"/>
    <col min="11267" max="11267" width="9.125" customWidth="1"/>
    <col min="11268" max="11268" width="7.125" customWidth="1"/>
    <col min="11269" max="11269" width="15.375" customWidth="1"/>
    <col min="11270" max="11273" width="6.125" customWidth="1"/>
    <col min="11274" max="11274" width="7.125" customWidth="1"/>
    <col min="11275" max="11275" width="5.625" customWidth="1"/>
    <col min="11276" max="11282" width="6.375" customWidth="1"/>
    <col min="11283" max="11283" width="8.625" customWidth="1"/>
    <col min="11284" max="11284" width="7.125" customWidth="1"/>
    <col min="11285" max="11285" width="6.625" customWidth="1"/>
    <col min="11286" max="11286" width="7.125" customWidth="1"/>
    <col min="11287" max="11287" width="7.625" customWidth="1"/>
    <col min="11288" max="11288" width="20.625" customWidth="1"/>
    <col min="11289" max="11289" width="6.625" customWidth="1"/>
    <col min="11290" max="11291" width="7.125" customWidth="1"/>
    <col min="11292" max="11292" width="5.125" customWidth="1"/>
    <col min="11293" max="11293" width="17.625" customWidth="1"/>
    <col min="11522" max="11522" width="3.125" customWidth="1"/>
    <col min="11523" max="11523" width="9.125" customWidth="1"/>
    <col min="11524" max="11524" width="7.125" customWidth="1"/>
    <col min="11525" max="11525" width="15.375" customWidth="1"/>
    <col min="11526" max="11529" width="6.125" customWidth="1"/>
    <col min="11530" max="11530" width="7.125" customWidth="1"/>
    <col min="11531" max="11531" width="5.625" customWidth="1"/>
    <col min="11532" max="11538" width="6.375" customWidth="1"/>
    <col min="11539" max="11539" width="8.625" customWidth="1"/>
    <col min="11540" max="11540" width="7.125" customWidth="1"/>
    <col min="11541" max="11541" width="6.625" customWidth="1"/>
    <col min="11542" max="11542" width="7.125" customWidth="1"/>
    <col min="11543" max="11543" width="7.625" customWidth="1"/>
    <col min="11544" max="11544" width="20.625" customWidth="1"/>
    <col min="11545" max="11545" width="6.625" customWidth="1"/>
    <col min="11546" max="11547" width="7.125" customWidth="1"/>
    <col min="11548" max="11548" width="5.125" customWidth="1"/>
    <col min="11549" max="11549" width="17.625" customWidth="1"/>
    <col min="11778" max="11778" width="3.125" customWidth="1"/>
    <col min="11779" max="11779" width="9.125" customWidth="1"/>
    <col min="11780" max="11780" width="7.125" customWidth="1"/>
    <col min="11781" max="11781" width="15.375" customWidth="1"/>
    <col min="11782" max="11785" width="6.125" customWidth="1"/>
    <col min="11786" max="11786" width="7.125" customWidth="1"/>
    <col min="11787" max="11787" width="5.625" customWidth="1"/>
    <col min="11788" max="11794" width="6.375" customWidth="1"/>
    <col min="11795" max="11795" width="8.625" customWidth="1"/>
    <col min="11796" max="11796" width="7.125" customWidth="1"/>
    <col min="11797" max="11797" width="6.625" customWidth="1"/>
    <col min="11798" max="11798" width="7.125" customWidth="1"/>
    <col min="11799" max="11799" width="7.625" customWidth="1"/>
    <col min="11800" max="11800" width="20.625" customWidth="1"/>
    <col min="11801" max="11801" width="6.625" customWidth="1"/>
    <col min="11802" max="11803" width="7.125" customWidth="1"/>
    <col min="11804" max="11804" width="5.125" customWidth="1"/>
    <col min="11805" max="11805" width="17.625" customWidth="1"/>
    <col min="12034" max="12034" width="3.125" customWidth="1"/>
    <col min="12035" max="12035" width="9.125" customWidth="1"/>
    <col min="12036" max="12036" width="7.125" customWidth="1"/>
    <col min="12037" max="12037" width="15.375" customWidth="1"/>
    <col min="12038" max="12041" width="6.125" customWidth="1"/>
    <col min="12042" max="12042" width="7.125" customWidth="1"/>
    <col min="12043" max="12043" width="5.625" customWidth="1"/>
    <col min="12044" max="12050" width="6.375" customWidth="1"/>
    <col min="12051" max="12051" width="8.625" customWidth="1"/>
    <col min="12052" max="12052" width="7.125" customWidth="1"/>
    <col min="12053" max="12053" width="6.625" customWidth="1"/>
    <col min="12054" max="12054" width="7.125" customWidth="1"/>
    <col min="12055" max="12055" width="7.625" customWidth="1"/>
    <col min="12056" max="12056" width="20.625" customWidth="1"/>
    <col min="12057" max="12057" width="6.625" customWidth="1"/>
    <col min="12058" max="12059" width="7.125" customWidth="1"/>
    <col min="12060" max="12060" width="5.125" customWidth="1"/>
    <col min="12061" max="12061" width="17.625" customWidth="1"/>
    <col min="12290" max="12290" width="3.125" customWidth="1"/>
    <col min="12291" max="12291" width="9.125" customWidth="1"/>
    <col min="12292" max="12292" width="7.125" customWidth="1"/>
    <col min="12293" max="12293" width="15.375" customWidth="1"/>
    <col min="12294" max="12297" width="6.125" customWidth="1"/>
    <col min="12298" max="12298" width="7.125" customWidth="1"/>
    <col min="12299" max="12299" width="5.625" customWidth="1"/>
    <col min="12300" max="12306" width="6.375" customWidth="1"/>
    <col min="12307" max="12307" width="8.625" customWidth="1"/>
    <col min="12308" max="12308" width="7.125" customWidth="1"/>
    <col min="12309" max="12309" width="6.625" customWidth="1"/>
    <col min="12310" max="12310" width="7.125" customWidth="1"/>
    <col min="12311" max="12311" width="7.625" customWidth="1"/>
    <col min="12312" max="12312" width="20.625" customWidth="1"/>
    <col min="12313" max="12313" width="6.625" customWidth="1"/>
    <col min="12314" max="12315" width="7.125" customWidth="1"/>
    <col min="12316" max="12316" width="5.125" customWidth="1"/>
    <col min="12317" max="12317" width="17.625" customWidth="1"/>
    <col min="12546" max="12546" width="3.125" customWidth="1"/>
    <col min="12547" max="12547" width="9.125" customWidth="1"/>
    <col min="12548" max="12548" width="7.125" customWidth="1"/>
    <col min="12549" max="12549" width="15.375" customWidth="1"/>
    <col min="12550" max="12553" width="6.125" customWidth="1"/>
    <col min="12554" max="12554" width="7.125" customWidth="1"/>
    <col min="12555" max="12555" width="5.625" customWidth="1"/>
    <col min="12556" max="12562" width="6.375" customWidth="1"/>
    <col min="12563" max="12563" width="8.625" customWidth="1"/>
    <col min="12564" max="12564" width="7.125" customWidth="1"/>
    <col min="12565" max="12565" width="6.625" customWidth="1"/>
    <col min="12566" max="12566" width="7.125" customWidth="1"/>
    <col min="12567" max="12567" width="7.625" customWidth="1"/>
    <col min="12568" max="12568" width="20.625" customWidth="1"/>
    <col min="12569" max="12569" width="6.625" customWidth="1"/>
    <col min="12570" max="12571" width="7.125" customWidth="1"/>
    <col min="12572" max="12572" width="5.125" customWidth="1"/>
    <col min="12573" max="12573" width="17.625" customWidth="1"/>
    <col min="12802" max="12802" width="3.125" customWidth="1"/>
    <col min="12803" max="12803" width="9.125" customWidth="1"/>
    <col min="12804" max="12804" width="7.125" customWidth="1"/>
    <col min="12805" max="12805" width="15.375" customWidth="1"/>
    <col min="12806" max="12809" width="6.125" customWidth="1"/>
    <col min="12810" max="12810" width="7.125" customWidth="1"/>
    <col min="12811" max="12811" width="5.625" customWidth="1"/>
    <col min="12812" max="12818" width="6.375" customWidth="1"/>
    <col min="12819" max="12819" width="8.625" customWidth="1"/>
    <col min="12820" max="12820" width="7.125" customWidth="1"/>
    <col min="12821" max="12821" width="6.625" customWidth="1"/>
    <col min="12822" max="12822" width="7.125" customWidth="1"/>
    <col min="12823" max="12823" width="7.625" customWidth="1"/>
    <col min="12824" max="12824" width="20.625" customWidth="1"/>
    <col min="12825" max="12825" width="6.625" customWidth="1"/>
    <col min="12826" max="12827" width="7.125" customWidth="1"/>
    <col min="12828" max="12828" width="5.125" customWidth="1"/>
    <col min="12829" max="12829" width="17.625" customWidth="1"/>
    <col min="13058" max="13058" width="3.125" customWidth="1"/>
    <col min="13059" max="13059" width="9.125" customWidth="1"/>
    <col min="13060" max="13060" width="7.125" customWidth="1"/>
    <col min="13061" max="13061" width="15.375" customWidth="1"/>
    <col min="13062" max="13065" width="6.125" customWidth="1"/>
    <col min="13066" max="13066" width="7.125" customWidth="1"/>
    <col min="13067" max="13067" width="5.625" customWidth="1"/>
    <col min="13068" max="13074" width="6.375" customWidth="1"/>
    <col min="13075" max="13075" width="8.625" customWidth="1"/>
    <col min="13076" max="13076" width="7.125" customWidth="1"/>
    <col min="13077" max="13077" width="6.625" customWidth="1"/>
    <col min="13078" max="13078" width="7.125" customWidth="1"/>
    <col min="13079" max="13079" width="7.625" customWidth="1"/>
    <col min="13080" max="13080" width="20.625" customWidth="1"/>
    <col min="13081" max="13081" width="6.625" customWidth="1"/>
    <col min="13082" max="13083" width="7.125" customWidth="1"/>
    <col min="13084" max="13084" width="5.125" customWidth="1"/>
    <col min="13085" max="13085" width="17.625" customWidth="1"/>
    <col min="13314" max="13314" width="3.125" customWidth="1"/>
    <col min="13315" max="13315" width="9.125" customWidth="1"/>
    <col min="13316" max="13316" width="7.125" customWidth="1"/>
    <col min="13317" max="13317" width="15.375" customWidth="1"/>
    <col min="13318" max="13321" width="6.125" customWidth="1"/>
    <col min="13322" max="13322" width="7.125" customWidth="1"/>
    <col min="13323" max="13323" width="5.625" customWidth="1"/>
    <col min="13324" max="13330" width="6.375" customWidth="1"/>
    <col min="13331" max="13331" width="8.625" customWidth="1"/>
    <col min="13332" max="13332" width="7.125" customWidth="1"/>
    <col min="13333" max="13333" width="6.625" customWidth="1"/>
    <col min="13334" max="13334" width="7.125" customWidth="1"/>
    <col min="13335" max="13335" width="7.625" customWidth="1"/>
    <col min="13336" max="13336" width="20.625" customWidth="1"/>
    <col min="13337" max="13337" width="6.625" customWidth="1"/>
    <col min="13338" max="13339" width="7.125" customWidth="1"/>
    <col min="13340" max="13340" width="5.125" customWidth="1"/>
    <col min="13341" max="13341" width="17.625" customWidth="1"/>
    <col min="13570" max="13570" width="3.125" customWidth="1"/>
    <col min="13571" max="13571" width="9.125" customWidth="1"/>
    <col min="13572" max="13572" width="7.125" customWidth="1"/>
    <col min="13573" max="13573" width="15.375" customWidth="1"/>
    <col min="13574" max="13577" width="6.125" customWidth="1"/>
    <col min="13578" max="13578" width="7.125" customWidth="1"/>
    <col min="13579" max="13579" width="5.625" customWidth="1"/>
    <col min="13580" max="13586" width="6.375" customWidth="1"/>
    <col min="13587" max="13587" width="8.625" customWidth="1"/>
    <col min="13588" max="13588" width="7.125" customWidth="1"/>
    <col min="13589" max="13589" width="6.625" customWidth="1"/>
    <col min="13590" max="13590" width="7.125" customWidth="1"/>
    <col min="13591" max="13591" width="7.625" customWidth="1"/>
    <col min="13592" max="13592" width="20.625" customWidth="1"/>
    <col min="13593" max="13593" width="6.625" customWidth="1"/>
    <col min="13594" max="13595" width="7.125" customWidth="1"/>
    <col min="13596" max="13596" width="5.125" customWidth="1"/>
    <col min="13597" max="13597" width="17.625" customWidth="1"/>
    <col min="13826" max="13826" width="3.125" customWidth="1"/>
    <col min="13827" max="13827" width="9.125" customWidth="1"/>
    <col min="13828" max="13828" width="7.125" customWidth="1"/>
    <col min="13829" max="13829" width="15.375" customWidth="1"/>
    <col min="13830" max="13833" width="6.125" customWidth="1"/>
    <col min="13834" max="13834" width="7.125" customWidth="1"/>
    <col min="13835" max="13835" width="5.625" customWidth="1"/>
    <col min="13836" max="13842" width="6.375" customWidth="1"/>
    <col min="13843" max="13843" width="8.625" customWidth="1"/>
    <col min="13844" max="13844" width="7.125" customWidth="1"/>
    <col min="13845" max="13845" width="6.625" customWidth="1"/>
    <col min="13846" max="13846" width="7.125" customWidth="1"/>
    <col min="13847" max="13847" width="7.625" customWidth="1"/>
    <col min="13848" max="13848" width="20.625" customWidth="1"/>
    <col min="13849" max="13849" width="6.625" customWidth="1"/>
    <col min="13850" max="13851" width="7.125" customWidth="1"/>
    <col min="13852" max="13852" width="5.125" customWidth="1"/>
    <col min="13853" max="13853" width="17.625" customWidth="1"/>
    <col min="14082" max="14082" width="3.125" customWidth="1"/>
    <col min="14083" max="14083" width="9.125" customWidth="1"/>
    <col min="14084" max="14084" width="7.125" customWidth="1"/>
    <col min="14085" max="14085" width="15.375" customWidth="1"/>
    <col min="14086" max="14089" width="6.125" customWidth="1"/>
    <col min="14090" max="14090" width="7.125" customWidth="1"/>
    <col min="14091" max="14091" width="5.625" customWidth="1"/>
    <col min="14092" max="14098" width="6.375" customWidth="1"/>
    <col min="14099" max="14099" width="8.625" customWidth="1"/>
    <col min="14100" max="14100" width="7.125" customWidth="1"/>
    <col min="14101" max="14101" width="6.625" customWidth="1"/>
    <col min="14102" max="14102" width="7.125" customWidth="1"/>
    <col min="14103" max="14103" width="7.625" customWidth="1"/>
    <col min="14104" max="14104" width="20.625" customWidth="1"/>
    <col min="14105" max="14105" width="6.625" customWidth="1"/>
    <col min="14106" max="14107" width="7.125" customWidth="1"/>
    <col min="14108" max="14108" width="5.125" customWidth="1"/>
    <col min="14109" max="14109" width="17.625" customWidth="1"/>
    <col min="14338" max="14338" width="3.125" customWidth="1"/>
    <col min="14339" max="14339" width="9.125" customWidth="1"/>
    <col min="14340" max="14340" width="7.125" customWidth="1"/>
    <col min="14341" max="14341" width="15.375" customWidth="1"/>
    <col min="14342" max="14345" width="6.125" customWidth="1"/>
    <col min="14346" max="14346" width="7.125" customWidth="1"/>
    <col min="14347" max="14347" width="5.625" customWidth="1"/>
    <col min="14348" max="14354" width="6.375" customWidth="1"/>
    <col min="14355" max="14355" width="8.625" customWidth="1"/>
    <col min="14356" max="14356" width="7.125" customWidth="1"/>
    <col min="14357" max="14357" width="6.625" customWidth="1"/>
    <col min="14358" max="14358" width="7.125" customWidth="1"/>
    <col min="14359" max="14359" width="7.625" customWidth="1"/>
    <col min="14360" max="14360" width="20.625" customWidth="1"/>
    <col min="14361" max="14361" width="6.625" customWidth="1"/>
    <col min="14362" max="14363" width="7.125" customWidth="1"/>
    <col min="14364" max="14364" width="5.125" customWidth="1"/>
    <col min="14365" max="14365" width="17.625" customWidth="1"/>
    <col min="14594" max="14594" width="3.125" customWidth="1"/>
    <col min="14595" max="14595" width="9.125" customWidth="1"/>
    <col min="14596" max="14596" width="7.125" customWidth="1"/>
    <col min="14597" max="14597" width="15.375" customWidth="1"/>
    <col min="14598" max="14601" width="6.125" customWidth="1"/>
    <col min="14602" max="14602" width="7.125" customWidth="1"/>
    <col min="14603" max="14603" width="5.625" customWidth="1"/>
    <col min="14604" max="14610" width="6.375" customWidth="1"/>
    <col min="14611" max="14611" width="8.625" customWidth="1"/>
    <col min="14612" max="14612" width="7.125" customWidth="1"/>
    <col min="14613" max="14613" width="6.625" customWidth="1"/>
    <col min="14614" max="14614" width="7.125" customWidth="1"/>
    <col min="14615" max="14615" width="7.625" customWidth="1"/>
    <col min="14616" max="14616" width="20.625" customWidth="1"/>
    <col min="14617" max="14617" width="6.625" customWidth="1"/>
    <col min="14618" max="14619" width="7.125" customWidth="1"/>
    <col min="14620" max="14620" width="5.125" customWidth="1"/>
    <col min="14621" max="14621" width="17.625" customWidth="1"/>
    <col min="14850" max="14850" width="3.125" customWidth="1"/>
    <col min="14851" max="14851" width="9.125" customWidth="1"/>
    <col min="14852" max="14852" width="7.125" customWidth="1"/>
    <col min="14853" max="14853" width="15.375" customWidth="1"/>
    <col min="14854" max="14857" width="6.125" customWidth="1"/>
    <col min="14858" max="14858" width="7.125" customWidth="1"/>
    <col min="14859" max="14859" width="5.625" customWidth="1"/>
    <col min="14860" max="14866" width="6.375" customWidth="1"/>
    <col min="14867" max="14867" width="8.625" customWidth="1"/>
    <col min="14868" max="14868" width="7.125" customWidth="1"/>
    <col min="14869" max="14869" width="6.625" customWidth="1"/>
    <col min="14870" max="14870" width="7.125" customWidth="1"/>
    <col min="14871" max="14871" width="7.625" customWidth="1"/>
    <col min="14872" max="14872" width="20.625" customWidth="1"/>
    <col min="14873" max="14873" width="6.625" customWidth="1"/>
    <col min="14874" max="14875" width="7.125" customWidth="1"/>
    <col min="14876" max="14876" width="5.125" customWidth="1"/>
    <col min="14877" max="14877" width="17.625" customWidth="1"/>
    <col min="15106" max="15106" width="3.125" customWidth="1"/>
    <col min="15107" max="15107" width="9.125" customWidth="1"/>
    <col min="15108" max="15108" width="7.125" customWidth="1"/>
    <col min="15109" max="15109" width="15.375" customWidth="1"/>
    <col min="15110" max="15113" width="6.125" customWidth="1"/>
    <col min="15114" max="15114" width="7.125" customWidth="1"/>
    <col min="15115" max="15115" width="5.625" customWidth="1"/>
    <col min="15116" max="15122" width="6.375" customWidth="1"/>
    <col min="15123" max="15123" width="8.625" customWidth="1"/>
    <col min="15124" max="15124" width="7.125" customWidth="1"/>
    <col min="15125" max="15125" width="6.625" customWidth="1"/>
    <col min="15126" max="15126" width="7.125" customWidth="1"/>
    <col min="15127" max="15127" width="7.625" customWidth="1"/>
    <col min="15128" max="15128" width="20.625" customWidth="1"/>
    <col min="15129" max="15129" width="6.625" customWidth="1"/>
    <col min="15130" max="15131" width="7.125" customWidth="1"/>
    <col min="15132" max="15132" width="5.125" customWidth="1"/>
    <col min="15133" max="15133" width="17.625" customWidth="1"/>
    <col min="15362" max="15362" width="3.125" customWidth="1"/>
    <col min="15363" max="15363" width="9.125" customWidth="1"/>
    <col min="15364" max="15364" width="7.125" customWidth="1"/>
    <col min="15365" max="15365" width="15.375" customWidth="1"/>
    <col min="15366" max="15369" width="6.125" customWidth="1"/>
    <col min="15370" max="15370" width="7.125" customWidth="1"/>
    <col min="15371" max="15371" width="5.625" customWidth="1"/>
    <col min="15372" max="15378" width="6.375" customWidth="1"/>
    <col min="15379" max="15379" width="8.625" customWidth="1"/>
    <col min="15380" max="15380" width="7.125" customWidth="1"/>
    <col min="15381" max="15381" width="6.625" customWidth="1"/>
    <col min="15382" max="15382" width="7.125" customWidth="1"/>
    <col min="15383" max="15383" width="7.625" customWidth="1"/>
    <col min="15384" max="15384" width="20.625" customWidth="1"/>
    <col min="15385" max="15385" width="6.625" customWidth="1"/>
    <col min="15386" max="15387" width="7.125" customWidth="1"/>
    <col min="15388" max="15388" width="5.125" customWidth="1"/>
    <col min="15389" max="15389" width="17.625" customWidth="1"/>
    <col min="15618" max="15618" width="3.125" customWidth="1"/>
    <col min="15619" max="15619" width="9.125" customWidth="1"/>
    <col min="15620" max="15620" width="7.125" customWidth="1"/>
    <col min="15621" max="15621" width="15.375" customWidth="1"/>
    <col min="15622" max="15625" width="6.125" customWidth="1"/>
    <col min="15626" max="15626" width="7.125" customWidth="1"/>
    <col min="15627" max="15627" width="5.625" customWidth="1"/>
    <col min="15628" max="15634" width="6.375" customWidth="1"/>
    <col min="15635" max="15635" width="8.625" customWidth="1"/>
    <col min="15636" max="15636" width="7.125" customWidth="1"/>
    <col min="15637" max="15637" width="6.625" customWidth="1"/>
    <col min="15638" max="15638" width="7.125" customWidth="1"/>
    <col min="15639" max="15639" width="7.625" customWidth="1"/>
    <col min="15640" max="15640" width="20.625" customWidth="1"/>
    <col min="15641" max="15641" width="6.625" customWidth="1"/>
    <col min="15642" max="15643" width="7.125" customWidth="1"/>
    <col min="15644" max="15644" width="5.125" customWidth="1"/>
    <col min="15645" max="15645" width="17.625" customWidth="1"/>
    <col min="15874" max="15874" width="3.125" customWidth="1"/>
    <col min="15875" max="15875" width="9.125" customWidth="1"/>
    <col min="15876" max="15876" width="7.125" customWidth="1"/>
    <col min="15877" max="15877" width="15.375" customWidth="1"/>
    <col min="15878" max="15881" width="6.125" customWidth="1"/>
    <col min="15882" max="15882" width="7.125" customWidth="1"/>
    <col min="15883" max="15883" width="5.625" customWidth="1"/>
    <col min="15884" max="15890" width="6.375" customWidth="1"/>
    <col min="15891" max="15891" width="8.625" customWidth="1"/>
    <col min="15892" max="15892" width="7.125" customWidth="1"/>
    <col min="15893" max="15893" width="6.625" customWidth="1"/>
    <col min="15894" max="15894" width="7.125" customWidth="1"/>
    <col min="15895" max="15895" width="7.625" customWidth="1"/>
    <col min="15896" max="15896" width="20.625" customWidth="1"/>
    <col min="15897" max="15897" width="6.625" customWidth="1"/>
    <col min="15898" max="15899" width="7.125" customWidth="1"/>
    <col min="15900" max="15900" width="5.125" customWidth="1"/>
    <col min="15901" max="15901" width="17.625" customWidth="1"/>
    <col min="16130" max="16130" width="3.125" customWidth="1"/>
    <col min="16131" max="16131" width="9.125" customWidth="1"/>
    <col min="16132" max="16132" width="7.125" customWidth="1"/>
    <col min="16133" max="16133" width="15.375" customWidth="1"/>
    <col min="16134" max="16137" width="6.125" customWidth="1"/>
    <col min="16138" max="16138" width="7.125" customWidth="1"/>
    <col min="16139" max="16139" width="5.625" customWidth="1"/>
    <col min="16140" max="16146" width="6.375" customWidth="1"/>
    <col min="16147" max="16147" width="8.625" customWidth="1"/>
    <col min="16148" max="16148" width="7.125" customWidth="1"/>
    <col min="16149" max="16149" width="6.625" customWidth="1"/>
    <col min="16150" max="16150" width="7.125" customWidth="1"/>
    <col min="16151" max="16151" width="7.625" customWidth="1"/>
    <col min="16152" max="16152" width="20.625" customWidth="1"/>
    <col min="16153" max="16153" width="6.625" customWidth="1"/>
    <col min="16154" max="16155" width="7.125" customWidth="1"/>
    <col min="16156" max="16156" width="5.125" customWidth="1"/>
    <col min="16157" max="16157" width="17.625" customWidth="1"/>
  </cols>
  <sheetData>
    <row r="1" ht="38.25" customHeight="1" spans="1:30">
      <c r="A1" s="298" t="s">
        <v>657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935" t="s">
        <v>1</v>
      </c>
      <c r="Z1" s="935"/>
      <c r="AA1" s="935"/>
      <c r="AB1" s="200">
        <f ca="1">TODAY()</f>
        <v>46277</v>
      </c>
      <c r="AC1" s="201"/>
    </row>
    <row r="2" s="446" customFormat="1" ht="21.95" customHeight="1" spans="1:30">
      <c r="A2" s="469" t="s">
        <v>2</v>
      </c>
      <c r="B2" s="470" t="s">
        <v>3</v>
      </c>
      <c r="C2" s="470" t="s">
        <v>4</v>
      </c>
      <c r="D2" s="470" t="s">
        <v>658</v>
      </c>
      <c r="E2" s="936" t="s">
        <v>6</v>
      </c>
      <c r="F2" s="15" t="s">
        <v>7</v>
      </c>
      <c r="G2" s="15" t="s">
        <v>8</v>
      </c>
      <c r="H2" s="15" t="s">
        <v>659</v>
      </c>
      <c r="I2" s="470" t="s">
        <v>10</v>
      </c>
      <c r="J2" s="15" t="s">
        <v>11</v>
      </c>
      <c r="K2" s="15" t="s">
        <v>660</v>
      </c>
      <c r="L2" s="1175" t="s">
        <v>13</v>
      </c>
      <c r="M2" s="1175"/>
      <c r="N2" s="1175"/>
      <c r="O2" s="1175"/>
      <c r="P2" s="1175"/>
      <c r="Q2" s="1175"/>
      <c r="R2" s="1176" t="s">
        <v>180</v>
      </c>
      <c r="S2" s="1176"/>
      <c r="T2" s="1176"/>
      <c r="U2" s="1177" t="s">
        <v>661</v>
      </c>
      <c r="V2" s="1178" t="s">
        <v>662</v>
      </c>
      <c r="W2" s="1179" t="s">
        <v>19</v>
      </c>
      <c r="X2" s="1180" t="s">
        <v>21</v>
      </c>
      <c r="Y2" s="1181" t="s">
        <v>22</v>
      </c>
      <c r="Z2" s="1182" t="s">
        <v>23</v>
      </c>
      <c r="AA2" s="1182" t="s">
        <v>24</v>
      </c>
      <c r="AB2" s="1182" t="s">
        <v>25</v>
      </c>
      <c r="AC2" s="940" t="s">
        <v>26</v>
      </c>
    </row>
    <row r="3" s="446" customFormat="1" ht="21" customHeight="1" spans="1:30">
      <c r="A3" s="469"/>
      <c r="B3" s="470"/>
      <c r="C3" s="470"/>
      <c r="D3" s="470"/>
      <c r="E3" s="941"/>
      <c r="F3" s="15"/>
      <c r="G3" s="15"/>
      <c r="H3" s="15"/>
      <c r="I3" s="470"/>
      <c r="J3" s="15"/>
      <c r="K3" s="15"/>
      <c r="L3" s="1183" t="s">
        <v>663</v>
      </c>
      <c r="M3" s="1183" t="s">
        <v>664</v>
      </c>
      <c r="N3" s="1183" t="s">
        <v>665</v>
      </c>
      <c r="O3" s="1183" t="s">
        <v>666</v>
      </c>
      <c r="P3" s="1183" t="s">
        <v>667</v>
      </c>
      <c r="Q3" s="1183" t="s">
        <v>668</v>
      </c>
      <c r="R3" s="1184" t="s">
        <v>186</v>
      </c>
      <c r="S3" s="1176" t="s">
        <v>187</v>
      </c>
      <c r="T3" s="1184" t="s">
        <v>73</v>
      </c>
      <c r="U3" s="1177"/>
      <c r="V3" s="1178"/>
      <c r="W3" s="1179"/>
      <c r="X3" s="1180"/>
      <c r="Y3" s="1181"/>
      <c r="Z3" s="1182"/>
      <c r="AA3" s="1182"/>
      <c r="AB3" s="1182"/>
      <c r="AC3" s="940"/>
    </row>
    <row r="4" s="3" customFormat="1" ht="30" hidden="1" customHeight="1" spans="1:30">
      <c r="A4" s="208">
        <f>ROW()-3</f>
        <v>1</v>
      </c>
      <c r="B4" s="48" t="s">
        <v>669</v>
      </c>
      <c r="C4" s="49" t="s">
        <v>114</v>
      </c>
      <c r="D4" s="50" t="s">
        <v>670</v>
      </c>
      <c r="E4" s="50"/>
      <c r="F4" s="53">
        <v>45972</v>
      </c>
      <c r="G4" s="53">
        <v>46043</v>
      </c>
      <c r="H4" s="53">
        <v>46043</v>
      </c>
      <c r="I4" s="53">
        <v>45981</v>
      </c>
      <c r="J4" s="478">
        <v>1068</v>
      </c>
      <c r="K4" s="49">
        <v>12</v>
      </c>
      <c r="L4" s="478"/>
      <c r="M4" s="478"/>
      <c r="N4" s="478"/>
      <c r="O4" s="478"/>
      <c r="P4" s="478">
        <f t="shared" ref="P4:P15" si="0">J4/K4*6</f>
        <v>534</v>
      </c>
      <c r="Q4" s="478">
        <f t="shared" ref="Q4:Q15" si="1">J4/K4*6</f>
        <v>534</v>
      </c>
      <c r="R4" s="49" t="s">
        <v>671</v>
      </c>
      <c r="S4" s="48" t="s">
        <v>81</v>
      </c>
      <c r="T4" s="49" t="s">
        <v>672</v>
      </c>
      <c r="U4" s="48" t="s">
        <v>81</v>
      </c>
      <c r="V4" s="48" t="s">
        <v>673</v>
      </c>
      <c r="W4" s="48" t="s">
        <v>424</v>
      </c>
      <c r="X4" s="48" t="s">
        <v>674</v>
      </c>
      <c r="Y4" s="53">
        <v>46041</v>
      </c>
      <c r="Z4" s="700">
        <v>46048</v>
      </c>
      <c r="AA4" s="700"/>
      <c r="AB4" s="700">
        <v>46049</v>
      </c>
      <c r="AC4" s="177">
        <v>47891525</v>
      </c>
      <c r="AD4" s="3" t="s">
        <v>675</v>
      </c>
    </row>
    <row r="5" s="3" customFormat="1" ht="30" hidden="1" customHeight="1" spans="1:30">
      <c r="A5" s="208">
        <f t="shared" ref="A5:A16" si="2">ROW()-3</f>
        <v>2</v>
      </c>
      <c r="B5" s="48" t="s">
        <v>669</v>
      </c>
      <c r="C5" s="49" t="s">
        <v>114</v>
      </c>
      <c r="D5" s="50" t="s">
        <v>676</v>
      </c>
      <c r="E5" s="50"/>
      <c r="F5" s="53">
        <v>45972</v>
      </c>
      <c r="G5" s="53">
        <v>46043</v>
      </c>
      <c r="H5" s="53">
        <v>46043</v>
      </c>
      <c r="I5" s="53">
        <v>45981</v>
      </c>
      <c r="J5" s="478">
        <v>1068</v>
      </c>
      <c r="K5" s="49">
        <v>12</v>
      </c>
      <c r="L5" s="478"/>
      <c r="M5" s="478"/>
      <c r="N5" s="478"/>
      <c r="O5" s="478"/>
      <c r="P5" s="478">
        <f t="shared" si="0"/>
        <v>534</v>
      </c>
      <c r="Q5" s="478">
        <f t="shared" si="1"/>
        <v>534</v>
      </c>
      <c r="R5" s="49" t="s">
        <v>671</v>
      </c>
      <c r="S5" s="48" t="s">
        <v>81</v>
      </c>
      <c r="T5" s="49" t="s">
        <v>672</v>
      </c>
      <c r="U5" s="48" t="s">
        <v>81</v>
      </c>
      <c r="V5" s="48" t="s">
        <v>673</v>
      </c>
      <c r="W5" s="48" t="s">
        <v>424</v>
      </c>
      <c r="X5" s="48" t="s">
        <v>674</v>
      </c>
      <c r="Y5" s="53">
        <v>46041</v>
      </c>
      <c r="Z5" s="700">
        <v>46048</v>
      </c>
      <c r="AA5" s="700"/>
      <c r="AB5" s="700">
        <v>46049</v>
      </c>
      <c r="AC5" s="177">
        <v>47893445</v>
      </c>
      <c r="AD5" s="3" t="s">
        <v>675</v>
      </c>
    </row>
    <row r="6" s="3" customFormat="1" ht="30" hidden="1" customHeight="1" spans="1:30">
      <c r="A6" s="208">
        <f t="shared" si="2"/>
        <v>3</v>
      </c>
      <c r="B6" s="48" t="s">
        <v>669</v>
      </c>
      <c r="C6" s="49" t="s">
        <v>114</v>
      </c>
      <c r="D6" s="50" t="s">
        <v>677</v>
      </c>
      <c r="E6" s="50"/>
      <c r="F6" s="53">
        <v>45972</v>
      </c>
      <c r="G6" s="53">
        <v>46043</v>
      </c>
      <c r="H6" s="53">
        <v>46043</v>
      </c>
      <c r="I6" s="53">
        <v>45981</v>
      </c>
      <c r="J6" s="478">
        <v>780</v>
      </c>
      <c r="K6" s="49">
        <v>12</v>
      </c>
      <c r="L6" s="478"/>
      <c r="M6" s="478"/>
      <c r="N6" s="478"/>
      <c r="O6" s="478"/>
      <c r="P6" s="478">
        <f t="shared" si="0"/>
        <v>390</v>
      </c>
      <c r="Q6" s="478">
        <f t="shared" si="1"/>
        <v>390</v>
      </c>
      <c r="R6" s="49" t="s">
        <v>671</v>
      </c>
      <c r="S6" s="48" t="s">
        <v>81</v>
      </c>
      <c r="T6" s="49" t="s">
        <v>672</v>
      </c>
      <c r="U6" s="48" t="s">
        <v>81</v>
      </c>
      <c r="V6" s="48" t="s">
        <v>673</v>
      </c>
      <c r="W6" s="48" t="s">
        <v>424</v>
      </c>
      <c r="X6" s="48" t="s">
        <v>674</v>
      </c>
      <c r="Y6" s="53">
        <v>46041</v>
      </c>
      <c r="Z6" s="700">
        <v>46048</v>
      </c>
      <c r="AA6" s="700"/>
      <c r="AB6" s="700">
        <v>46049</v>
      </c>
      <c r="AC6" s="177">
        <v>47891526</v>
      </c>
      <c r="AD6" s="3" t="s">
        <v>675</v>
      </c>
    </row>
    <row r="7" s="3" customFormat="1" ht="30" hidden="1" customHeight="1" spans="1:30">
      <c r="A7" s="208">
        <f t="shared" si="2"/>
        <v>4</v>
      </c>
      <c r="B7" s="48" t="s">
        <v>669</v>
      </c>
      <c r="C7" s="49" t="s">
        <v>114</v>
      </c>
      <c r="D7" s="50" t="s">
        <v>678</v>
      </c>
      <c r="E7" s="50"/>
      <c r="F7" s="53">
        <v>45972</v>
      </c>
      <c r="G7" s="53">
        <v>46043</v>
      </c>
      <c r="H7" s="53">
        <v>46043</v>
      </c>
      <c r="I7" s="53">
        <v>45981</v>
      </c>
      <c r="J7" s="478">
        <v>780</v>
      </c>
      <c r="K7" s="49">
        <v>12</v>
      </c>
      <c r="L7" s="478"/>
      <c r="M7" s="478"/>
      <c r="N7" s="478"/>
      <c r="O7" s="478"/>
      <c r="P7" s="478">
        <f t="shared" si="0"/>
        <v>390</v>
      </c>
      <c r="Q7" s="478">
        <f t="shared" si="1"/>
        <v>390</v>
      </c>
      <c r="R7" s="49" t="s">
        <v>671</v>
      </c>
      <c r="S7" s="48" t="s">
        <v>81</v>
      </c>
      <c r="T7" s="49" t="s">
        <v>672</v>
      </c>
      <c r="U7" s="48" t="s">
        <v>81</v>
      </c>
      <c r="V7" s="48" t="s">
        <v>673</v>
      </c>
      <c r="W7" s="48" t="s">
        <v>424</v>
      </c>
      <c r="X7" s="48" t="s">
        <v>674</v>
      </c>
      <c r="Y7" s="53">
        <v>46041</v>
      </c>
      <c r="Z7" s="700">
        <v>46048</v>
      </c>
      <c r="AA7" s="700"/>
      <c r="AB7" s="700">
        <v>46049</v>
      </c>
      <c r="AC7" s="177">
        <v>47893446</v>
      </c>
      <c r="AD7" s="3" t="s">
        <v>675</v>
      </c>
    </row>
    <row r="8" s="3" customFormat="1" ht="30" hidden="1" customHeight="1" spans="1:30">
      <c r="A8" s="208">
        <f t="shared" si="2"/>
        <v>5</v>
      </c>
      <c r="B8" s="48" t="s">
        <v>669</v>
      </c>
      <c r="C8" s="49" t="s">
        <v>114</v>
      </c>
      <c r="D8" s="50" t="s">
        <v>679</v>
      </c>
      <c r="E8" s="50"/>
      <c r="F8" s="53">
        <v>45972</v>
      </c>
      <c r="G8" s="53">
        <v>46043</v>
      </c>
      <c r="H8" s="53">
        <v>46043</v>
      </c>
      <c r="I8" s="53">
        <v>45981</v>
      </c>
      <c r="J8" s="478">
        <v>864</v>
      </c>
      <c r="K8" s="49">
        <v>12</v>
      </c>
      <c r="L8" s="478"/>
      <c r="M8" s="478"/>
      <c r="N8" s="478"/>
      <c r="O8" s="478"/>
      <c r="P8" s="478">
        <f t="shared" si="0"/>
        <v>432</v>
      </c>
      <c r="Q8" s="478">
        <f t="shared" si="1"/>
        <v>432</v>
      </c>
      <c r="R8" s="49" t="s">
        <v>671</v>
      </c>
      <c r="S8" s="48" t="s">
        <v>81</v>
      </c>
      <c r="T8" s="49" t="s">
        <v>672</v>
      </c>
      <c r="U8" s="48" t="s">
        <v>81</v>
      </c>
      <c r="V8" s="48" t="s">
        <v>673</v>
      </c>
      <c r="W8" s="48" t="s">
        <v>424</v>
      </c>
      <c r="X8" s="48" t="s">
        <v>674</v>
      </c>
      <c r="Y8" s="53">
        <v>46041</v>
      </c>
      <c r="Z8" s="700">
        <v>46048</v>
      </c>
      <c r="AA8" s="700"/>
      <c r="AB8" s="700">
        <v>46049</v>
      </c>
      <c r="AC8" s="177">
        <v>47891527</v>
      </c>
      <c r="AD8" s="3" t="s">
        <v>675</v>
      </c>
    </row>
    <row r="9" s="3" customFormat="1" ht="30" hidden="1" customHeight="1" spans="1:30">
      <c r="A9" s="208">
        <f t="shared" si="2"/>
        <v>6</v>
      </c>
      <c r="B9" s="48" t="s">
        <v>669</v>
      </c>
      <c r="C9" s="49" t="s">
        <v>114</v>
      </c>
      <c r="D9" s="50" t="s">
        <v>680</v>
      </c>
      <c r="E9" s="50"/>
      <c r="F9" s="53">
        <v>45972</v>
      </c>
      <c r="G9" s="53">
        <v>46043</v>
      </c>
      <c r="H9" s="53">
        <v>46043</v>
      </c>
      <c r="I9" s="53">
        <v>45981</v>
      </c>
      <c r="J9" s="478">
        <v>864</v>
      </c>
      <c r="K9" s="49">
        <v>12</v>
      </c>
      <c r="L9" s="478"/>
      <c r="M9" s="478"/>
      <c r="N9" s="478"/>
      <c r="O9" s="478"/>
      <c r="P9" s="478">
        <f t="shared" si="0"/>
        <v>432</v>
      </c>
      <c r="Q9" s="478">
        <f t="shared" si="1"/>
        <v>432</v>
      </c>
      <c r="R9" s="49" t="s">
        <v>671</v>
      </c>
      <c r="S9" s="48" t="s">
        <v>81</v>
      </c>
      <c r="T9" s="49" t="s">
        <v>672</v>
      </c>
      <c r="U9" s="48" t="s">
        <v>81</v>
      </c>
      <c r="V9" s="48" t="s">
        <v>673</v>
      </c>
      <c r="W9" s="48" t="s">
        <v>424</v>
      </c>
      <c r="X9" s="48" t="s">
        <v>674</v>
      </c>
      <c r="Y9" s="53">
        <v>46041</v>
      </c>
      <c r="Z9" s="700">
        <v>46048</v>
      </c>
      <c r="AA9" s="700"/>
      <c r="AB9" s="700">
        <v>46049</v>
      </c>
      <c r="AC9" s="177">
        <v>47893447</v>
      </c>
      <c r="AD9" s="3" t="s">
        <v>675</v>
      </c>
    </row>
    <row r="10" s="3" customFormat="1" ht="30" hidden="1" customHeight="1" spans="1:30">
      <c r="A10" s="208">
        <f t="shared" si="2"/>
        <v>7</v>
      </c>
      <c r="B10" s="48" t="s">
        <v>669</v>
      </c>
      <c r="C10" s="49" t="s">
        <v>114</v>
      </c>
      <c r="D10" s="50" t="s">
        <v>681</v>
      </c>
      <c r="E10" s="50"/>
      <c r="F10" s="53">
        <v>45972</v>
      </c>
      <c r="G10" s="53">
        <v>46043</v>
      </c>
      <c r="H10" s="53">
        <v>46043</v>
      </c>
      <c r="I10" s="53">
        <v>45981</v>
      </c>
      <c r="J10" s="478">
        <v>288</v>
      </c>
      <c r="K10" s="49">
        <v>12</v>
      </c>
      <c r="L10" s="478"/>
      <c r="M10" s="478"/>
      <c r="N10" s="478"/>
      <c r="O10" s="478"/>
      <c r="P10" s="478">
        <f t="shared" si="0"/>
        <v>144</v>
      </c>
      <c r="Q10" s="478">
        <f t="shared" si="1"/>
        <v>144</v>
      </c>
      <c r="R10" s="49" t="s">
        <v>671</v>
      </c>
      <c r="S10" s="48" t="s">
        <v>81</v>
      </c>
      <c r="T10" s="49" t="s">
        <v>672</v>
      </c>
      <c r="U10" s="48" t="s">
        <v>81</v>
      </c>
      <c r="V10" s="48" t="s">
        <v>673</v>
      </c>
      <c r="W10" s="48" t="s">
        <v>424</v>
      </c>
      <c r="X10" s="48" t="s">
        <v>674</v>
      </c>
      <c r="Y10" s="53">
        <v>46041</v>
      </c>
      <c r="Z10" s="700">
        <v>46048</v>
      </c>
      <c r="AA10" s="700"/>
      <c r="AB10" s="700">
        <v>46049</v>
      </c>
      <c r="AC10" s="177">
        <v>47891528</v>
      </c>
      <c r="AD10" s="3" t="s">
        <v>675</v>
      </c>
    </row>
    <row r="11" s="3" customFormat="1" ht="30" hidden="1" customHeight="1" spans="1:30">
      <c r="A11" s="208">
        <f t="shared" si="2"/>
        <v>8</v>
      </c>
      <c r="B11" s="48" t="s">
        <v>669</v>
      </c>
      <c r="C11" s="49" t="s">
        <v>114</v>
      </c>
      <c r="D11" s="50" t="s">
        <v>682</v>
      </c>
      <c r="E11" s="50"/>
      <c r="F11" s="53">
        <v>45972</v>
      </c>
      <c r="G11" s="53">
        <v>46043</v>
      </c>
      <c r="H11" s="53">
        <v>46043</v>
      </c>
      <c r="I11" s="53">
        <v>45981</v>
      </c>
      <c r="J11" s="478">
        <v>288</v>
      </c>
      <c r="K11" s="49">
        <v>12</v>
      </c>
      <c r="L11" s="478"/>
      <c r="M11" s="478"/>
      <c r="N11" s="478"/>
      <c r="O11" s="478"/>
      <c r="P11" s="478">
        <f t="shared" si="0"/>
        <v>144</v>
      </c>
      <c r="Q11" s="478">
        <f t="shared" si="1"/>
        <v>144</v>
      </c>
      <c r="R11" s="49" t="s">
        <v>671</v>
      </c>
      <c r="S11" s="48" t="s">
        <v>81</v>
      </c>
      <c r="T11" s="49" t="s">
        <v>672</v>
      </c>
      <c r="U11" s="48" t="s">
        <v>81</v>
      </c>
      <c r="V11" s="48" t="s">
        <v>673</v>
      </c>
      <c r="W11" s="48" t="s">
        <v>424</v>
      </c>
      <c r="X11" s="48" t="s">
        <v>674</v>
      </c>
      <c r="Y11" s="53">
        <v>46041</v>
      </c>
      <c r="Z11" s="700">
        <v>46048</v>
      </c>
      <c r="AA11" s="700"/>
      <c r="AB11" s="700">
        <v>46049</v>
      </c>
      <c r="AC11" s="177">
        <v>47893448</v>
      </c>
      <c r="AD11" s="3" t="s">
        <v>675</v>
      </c>
    </row>
    <row r="12" s="3" customFormat="1" ht="34.5" hidden="1" customHeight="1" spans="1:30">
      <c r="A12" s="208">
        <f t="shared" si="2"/>
        <v>9</v>
      </c>
      <c r="B12" s="48" t="s">
        <v>669</v>
      </c>
      <c r="C12" s="49" t="s">
        <v>114</v>
      </c>
      <c r="D12" s="50" t="s">
        <v>683</v>
      </c>
      <c r="E12" s="50" t="s">
        <v>684</v>
      </c>
      <c r="F12" s="53">
        <v>46013</v>
      </c>
      <c r="G12" s="53">
        <v>46083</v>
      </c>
      <c r="H12" s="53">
        <v>46090</v>
      </c>
      <c r="I12" s="53">
        <v>46015</v>
      </c>
      <c r="J12" s="49">
        <v>1068</v>
      </c>
      <c r="K12" s="49">
        <v>12</v>
      </c>
      <c r="L12" s="478"/>
      <c r="M12" s="478"/>
      <c r="N12" s="478"/>
      <c r="O12" s="478"/>
      <c r="P12" s="478">
        <f t="shared" si="0"/>
        <v>534</v>
      </c>
      <c r="Q12" s="478">
        <f t="shared" si="1"/>
        <v>534</v>
      </c>
      <c r="R12" s="49" t="s">
        <v>685</v>
      </c>
      <c r="S12" s="48" t="s">
        <v>81</v>
      </c>
      <c r="T12" s="49" t="s">
        <v>686</v>
      </c>
      <c r="U12" s="48" t="s">
        <v>81</v>
      </c>
      <c r="V12" s="48" t="s">
        <v>673</v>
      </c>
      <c r="W12" s="48" t="s">
        <v>365</v>
      </c>
      <c r="X12" s="48" t="s">
        <v>687</v>
      </c>
      <c r="Y12" s="53">
        <v>46087</v>
      </c>
      <c r="Z12" s="700">
        <v>46085</v>
      </c>
      <c r="AA12" s="700"/>
      <c r="AB12" s="700">
        <v>46088</v>
      </c>
      <c r="AC12" s="177">
        <v>47906164</v>
      </c>
      <c r="AD12" s="3" t="s">
        <v>675</v>
      </c>
    </row>
    <row r="13" s="3" customFormat="1" ht="34.5" hidden="1" customHeight="1" spans="1:30">
      <c r="A13" s="208">
        <f t="shared" si="2"/>
        <v>10</v>
      </c>
      <c r="B13" s="48" t="s">
        <v>669</v>
      </c>
      <c r="C13" s="49" t="s">
        <v>114</v>
      </c>
      <c r="D13" s="50" t="s">
        <v>688</v>
      </c>
      <c r="E13" s="50" t="s">
        <v>684</v>
      </c>
      <c r="F13" s="53">
        <v>46013</v>
      </c>
      <c r="G13" s="53">
        <v>46083</v>
      </c>
      <c r="H13" s="53">
        <v>46090</v>
      </c>
      <c r="I13" s="53">
        <v>46015</v>
      </c>
      <c r="J13" s="49">
        <v>780</v>
      </c>
      <c r="K13" s="49">
        <v>12</v>
      </c>
      <c r="L13" s="478"/>
      <c r="M13" s="478"/>
      <c r="N13" s="478"/>
      <c r="O13" s="478"/>
      <c r="P13" s="478">
        <f t="shared" si="0"/>
        <v>390</v>
      </c>
      <c r="Q13" s="478">
        <f t="shared" si="1"/>
        <v>390</v>
      </c>
      <c r="R13" s="49" t="s">
        <v>685</v>
      </c>
      <c r="S13" s="48" t="s">
        <v>81</v>
      </c>
      <c r="T13" s="49" t="s">
        <v>686</v>
      </c>
      <c r="U13" s="48" t="s">
        <v>81</v>
      </c>
      <c r="V13" s="48" t="s">
        <v>673</v>
      </c>
      <c r="W13" s="48" t="s">
        <v>365</v>
      </c>
      <c r="X13" s="48" t="s">
        <v>687</v>
      </c>
      <c r="Y13" s="53">
        <v>46087</v>
      </c>
      <c r="Z13" s="700">
        <v>46085</v>
      </c>
      <c r="AA13" s="700"/>
      <c r="AB13" s="700">
        <v>46088</v>
      </c>
      <c r="AC13" s="177">
        <v>47906165</v>
      </c>
      <c r="AD13" s="3" t="s">
        <v>675</v>
      </c>
    </row>
    <row r="14" s="3" customFormat="1" ht="34.5" hidden="1" customHeight="1" spans="1:30">
      <c r="A14" s="208">
        <f t="shared" si="2"/>
        <v>11</v>
      </c>
      <c r="B14" s="48" t="s">
        <v>669</v>
      </c>
      <c r="C14" s="49" t="s">
        <v>114</v>
      </c>
      <c r="D14" s="50" t="s">
        <v>689</v>
      </c>
      <c r="E14" s="50" t="s">
        <v>684</v>
      </c>
      <c r="F14" s="53">
        <v>46013</v>
      </c>
      <c r="G14" s="53">
        <v>46083</v>
      </c>
      <c r="H14" s="53">
        <v>46090</v>
      </c>
      <c r="I14" s="53">
        <v>46015</v>
      </c>
      <c r="J14" s="49">
        <v>864</v>
      </c>
      <c r="K14" s="49">
        <v>12</v>
      </c>
      <c r="L14" s="478"/>
      <c r="M14" s="478"/>
      <c r="N14" s="478"/>
      <c r="O14" s="478"/>
      <c r="P14" s="478">
        <f t="shared" si="0"/>
        <v>432</v>
      </c>
      <c r="Q14" s="478">
        <f t="shared" si="1"/>
        <v>432</v>
      </c>
      <c r="R14" s="49" t="s">
        <v>685</v>
      </c>
      <c r="S14" s="48" t="s">
        <v>81</v>
      </c>
      <c r="T14" s="49" t="s">
        <v>686</v>
      </c>
      <c r="U14" s="48" t="s">
        <v>81</v>
      </c>
      <c r="V14" s="48" t="s">
        <v>673</v>
      </c>
      <c r="W14" s="48" t="s">
        <v>365</v>
      </c>
      <c r="X14" s="48" t="s">
        <v>687</v>
      </c>
      <c r="Y14" s="53">
        <v>46087</v>
      </c>
      <c r="Z14" s="700">
        <v>46085</v>
      </c>
      <c r="AA14" s="700"/>
      <c r="AB14" s="700">
        <v>46088</v>
      </c>
      <c r="AC14" s="177">
        <v>47906166</v>
      </c>
      <c r="AD14" s="3" t="s">
        <v>675</v>
      </c>
    </row>
    <row r="15" s="3" customFormat="1" ht="34.5" hidden="1" customHeight="1" spans="1:30">
      <c r="A15" s="208">
        <f t="shared" si="2"/>
        <v>12</v>
      </c>
      <c r="B15" s="48" t="s">
        <v>669</v>
      </c>
      <c r="C15" s="49" t="s">
        <v>114</v>
      </c>
      <c r="D15" s="50" t="s">
        <v>690</v>
      </c>
      <c r="E15" s="50" t="s">
        <v>684</v>
      </c>
      <c r="F15" s="53">
        <v>46013</v>
      </c>
      <c r="G15" s="53">
        <v>46083</v>
      </c>
      <c r="H15" s="53">
        <v>46090</v>
      </c>
      <c r="I15" s="53">
        <v>46015</v>
      </c>
      <c r="J15" s="49">
        <v>288</v>
      </c>
      <c r="K15" s="49">
        <v>12</v>
      </c>
      <c r="L15" s="478"/>
      <c r="M15" s="478"/>
      <c r="N15" s="478"/>
      <c r="O15" s="478"/>
      <c r="P15" s="478">
        <f t="shared" si="0"/>
        <v>144</v>
      </c>
      <c r="Q15" s="478">
        <f t="shared" si="1"/>
        <v>144</v>
      </c>
      <c r="R15" s="49" t="s">
        <v>685</v>
      </c>
      <c r="S15" s="48" t="s">
        <v>81</v>
      </c>
      <c r="T15" s="49" t="s">
        <v>686</v>
      </c>
      <c r="U15" s="48" t="s">
        <v>81</v>
      </c>
      <c r="V15" s="48" t="s">
        <v>673</v>
      </c>
      <c r="W15" s="48" t="s">
        <v>365</v>
      </c>
      <c r="X15" s="48" t="s">
        <v>687</v>
      </c>
      <c r="Y15" s="53">
        <v>46087</v>
      </c>
      <c r="Z15" s="700">
        <v>46085</v>
      </c>
      <c r="AA15" s="700"/>
      <c r="AB15" s="700">
        <v>46088</v>
      </c>
      <c r="AC15" s="177">
        <v>47906167</v>
      </c>
      <c r="AD15" s="3" t="s">
        <v>675</v>
      </c>
    </row>
    <row r="16" s="3" customFormat="1" ht="34.5" customHeight="1" spans="1:30">
      <c r="A16" s="215">
        <f t="shared" si="2"/>
        <v>13</v>
      </c>
      <c r="B16" s="96"/>
      <c r="C16" s="96"/>
      <c r="D16" s="96"/>
      <c r="E16" s="96"/>
      <c r="F16" s="96"/>
      <c r="G16" s="96"/>
      <c r="H16" s="96"/>
      <c r="I16" s="218"/>
      <c r="J16" s="96"/>
      <c r="K16" s="96"/>
      <c r="L16" s="1183"/>
      <c r="M16" s="1183"/>
      <c r="N16" s="1183"/>
      <c r="O16" s="1183"/>
      <c r="P16" s="1183"/>
      <c r="Q16" s="1183"/>
      <c r="R16" s="219"/>
      <c r="S16" s="219"/>
      <c r="T16" s="219"/>
      <c r="U16" s="96"/>
      <c r="V16" s="96"/>
      <c r="W16" s="96"/>
      <c r="X16" s="183"/>
      <c r="Y16" s="1185"/>
      <c r="Z16" s="746"/>
      <c r="AA16" s="746"/>
      <c r="AB16" s="746"/>
      <c r="AC16" s="98"/>
    </row>
    <row r="17" s="3" customFormat="1" ht="21.75" customHeight="1" spans="1:29">
      <c r="A17" s="93" t="s">
        <v>66</v>
      </c>
      <c r="B17" s="94"/>
      <c r="C17" s="94"/>
      <c r="D17" s="94"/>
      <c r="E17" s="94"/>
      <c r="F17" s="94"/>
      <c r="G17" s="94"/>
      <c r="H17" s="94"/>
      <c r="I17" s="94"/>
      <c r="J17" s="96">
        <f>SUM(J2:J16)</f>
        <v>9000</v>
      </c>
      <c r="K17" s="96"/>
      <c r="L17" s="359">
        <f t="shared" ref="L17:Q17" si="3">SUM(L4:L16)</f>
        <v>0</v>
      </c>
      <c r="M17" s="359">
        <f t="shared" si="3"/>
        <v>0</v>
      </c>
      <c r="N17" s="359">
        <f t="shared" si="3"/>
        <v>0</v>
      </c>
      <c r="O17" s="359">
        <f t="shared" si="3"/>
        <v>0</v>
      </c>
      <c r="P17" s="359">
        <f t="shared" si="3"/>
        <v>4500</v>
      </c>
      <c r="Q17" s="359">
        <f t="shared" si="3"/>
        <v>4500</v>
      </c>
      <c r="R17" s="96"/>
      <c r="S17" s="96"/>
      <c r="T17" s="96"/>
      <c r="U17" s="96"/>
      <c r="V17" s="96"/>
      <c r="W17" s="96"/>
      <c r="X17" s="96"/>
      <c r="Y17" s="746"/>
      <c r="Z17" s="746"/>
      <c r="AA17" s="746"/>
      <c r="AB17" s="746"/>
      <c r="AC17" s="98"/>
    </row>
    <row r="18" s="1173" customFormat="1" ht="19.5" customHeight="1" spans="1:29">
      <c r="A18" s="1186"/>
      <c r="B18" s="1187"/>
      <c r="C18" s="1187"/>
      <c r="D18" s="1187"/>
      <c r="E18" s="1187"/>
      <c r="F18" s="1187"/>
      <c r="G18" s="1187"/>
      <c r="H18" s="1187"/>
      <c r="I18" s="1187"/>
      <c r="J18" s="1187"/>
      <c r="K18" s="1187"/>
      <c r="L18" s="1188"/>
      <c r="M18" s="1188"/>
      <c r="N18" s="1188"/>
      <c r="O18" s="1188"/>
      <c r="P18" s="1188">
        <f>3000+1500</f>
        <v>4500</v>
      </c>
      <c r="Q18" s="1188">
        <f>3000+1500</f>
        <v>4500</v>
      </c>
      <c r="R18" s="1187"/>
      <c r="S18" s="1187"/>
      <c r="T18" s="1187"/>
      <c r="U18" s="1187"/>
      <c r="V18" s="1187"/>
      <c r="W18" s="1187"/>
      <c r="X18" s="96"/>
      <c r="Y18" s="1187"/>
      <c r="Z18" s="1187"/>
      <c r="AA18" s="1187"/>
      <c r="AB18" s="1187"/>
      <c r="AC18" s="1189"/>
    </row>
    <row r="19" s="1173" customFormat="1" ht="27" customHeight="1" spans="1:29">
      <c r="A19" s="1138" t="s">
        <v>67</v>
      </c>
      <c r="B19" s="1139"/>
      <c r="C19" s="1139"/>
      <c r="D19" s="1139"/>
      <c r="E19" s="1139"/>
      <c r="F19" s="1139"/>
      <c r="G19" s="1139"/>
      <c r="H19" s="1139"/>
      <c r="I19" s="1139"/>
      <c r="J19" s="1139"/>
      <c r="K19" s="1139"/>
      <c r="L19" s="1190">
        <f t="shared" ref="L19:Q19" si="4">L18-L17</f>
        <v>0</v>
      </c>
      <c r="M19" s="1190">
        <f t="shared" si="4"/>
        <v>0</v>
      </c>
      <c r="N19" s="1190">
        <f t="shared" si="4"/>
        <v>0</v>
      </c>
      <c r="O19" s="1190">
        <f t="shared" si="4"/>
        <v>0</v>
      </c>
      <c r="P19" s="1190">
        <f t="shared" si="4"/>
        <v>0</v>
      </c>
      <c r="Q19" s="1190">
        <f t="shared" si="4"/>
        <v>0</v>
      </c>
      <c r="R19" s="1191"/>
      <c r="S19" s="1191"/>
      <c r="T19" s="1191"/>
      <c r="U19" s="1191"/>
      <c r="V19" s="1191"/>
      <c r="W19" s="1191"/>
      <c r="X19" s="1191"/>
      <c r="Y19" s="1191"/>
      <c r="Z19" s="1191"/>
      <c r="AA19" s="1191"/>
      <c r="AB19" s="1191"/>
      <c r="AC19" s="1192"/>
    </row>
    <row r="20" spans="1:29">
      <c r="B20" s="1193" t="s">
        <v>68</v>
      </c>
      <c r="C20" s="1193"/>
      <c r="D20" s="1194"/>
      <c r="E20" s="1194"/>
      <c r="F20" s="1194"/>
      <c r="G20" s="1194"/>
      <c r="H20" s="1194"/>
      <c r="I20" s="1194"/>
    </row>
  </sheetData>
  <autoFilter xmlns:etc="http://www.wps.cn/officeDocument/2017/etCustomData" ref="A3:AD20" etc:filterBottomFollowUsedRange="0">
    <filterColumn colId="27">
      <filters blank="1"/>
    </filterColumn>
    <extLst/>
  </autoFilter>
  <mergeCells count="27">
    <mergeCell ref="A1:X1"/>
    <mergeCell ref="Y1:AA1"/>
    <mergeCell ref="AB1:AC1"/>
    <mergeCell ref="L2:Q2"/>
    <mergeCell ref="R2:T2"/>
    <mergeCell ref="A17:I17"/>
    <mergeCell ref="A19:K1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W2:W3"/>
    <mergeCell ref="X2:X3"/>
    <mergeCell ref="Y2:Y3"/>
    <mergeCell ref="Z2:Z3"/>
    <mergeCell ref="AA2:AA3"/>
    <mergeCell ref="AB2:AB3"/>
    <mergeCell ref="AC2:AC3"/>
  </mergeCells>
  <printOptions horizontalCentered="1"/>
  <pageMargins left="0.393700787401575" right="0.393700787401575" top="0.551181102362205" bottom="0.748031496062992" header="0.31496062992126" footer="0.31496062992126"/>
  <pageSetup paperSize="9" scale="55" orientation="landscape" horizontalDpi="300" verticalDpi="300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E11"/>
  <sheetViews>
    <sheetView view="pageBreakPreview" zoomScaleNormal="100" workbookViewId="0">
      <pane xSplit="10" ySplit="3" topLeftCell="K4" activePane="bottomRight" state="frozen"/>
      <selection/>
      <selection pane="topRight"/>
      <selection pane="bottomLeft"/>
      <selection pane="bottomRight" activeCell="A1" sqref="A1:Y1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4" width="12.125" customWidth="1"/>
    <col min="5" max="5" width="6" customWidth="1"/>
    <col min="6" max="6" width="5.875" customWidth="1"/>
    <col min="7" max="7" width="6" customWidth="1"/>
    <col min="8" max="8" width="5.625" customWidth="1"/>
    <col min="9" max="9" width="7.125" customWidth="1"/>
    <col min="10" max="10" width="5.125" customWidth="1"/>
    <col min="11" max="18" width="6.5" customWidth="1"/>
    <col min="19" max="19" width="5.625" style="193" customWidth="1"/>
    <col min="20" max="20" width="6" customWidth="1"/>
    <col min="21" max="21" width="8.125" customWidth="1"/>
    <col min="22" max="22" width="6.125" customWidth="1"/>
    <col min="23" max="24" width="5.875" customWidth="1"/>
    <col min="25" max="25" width="19.625" style="288" customWidth="1"/>
    <col min="26" max="26" width="8.125" customWidth="1"/>
    <col min="27" max="27" width="8.125" style="193" customWidth="1"/>
    <col min="28" max="28" width="6.375" style="193" customWidth="1"/>
    <col min="29" max="29" width="6.625" style="193" customWidth="1"/>
    <col min="30" max="30" width="13.625" customWidth="1"/>
    <col min="31" max="31" width="18.625" customWidth="1"/>
  </cols>
  <sheetData>
    <row r="1" ht="35.1" customHeight="1" spans="1:31">
      <c r="A1" s="256" t="s">
        <v>691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8"/>
      <c r="Z1" s="300"/>
      <c r="AA1" s="935" t="s">
        <v>1</v>
      </c>
      <c r="AB1" s="747">
        <f ca="1">TODAY()</f>
        <v>46277</v>
      </c>
      <c r="AC1" s="1166"/>
      <c r="AD1" s="748"/>
    </row>
    <row r="2" s="446" customFormat="1" ht="21.75" customHeight="1" spans="1:31">
      <c r="A2" s="469" t="s">
        <v>2</v>
      </c>
      <c r="B2" s="470" t="s">
        <v>3</v>
      </c>
      <c r="C2" s="470" t="s">
        <v>4</v>
      </c>
      <c r="D2" s="470" t="s">
        <v>5</v>
      </c>
      <c r="E2" s="15" t="s">
        <v>7</v>
      </c>
      <c r="F2" s="15" t="s">
        <v>8</v>
      </c>
      <c r="G2" s="15" t="s">
        <v>9</v>
      </c>
      <c r="H2" s="470" t="s">
        <v>10</v>
      </c>
      <c r="I2" s="15" t="s">
        <v>11</v>
      </c>
      <c r="J2" s="15" t="s">
        <v>12</v>
      </c>
      <c r="K2" s="1167" t="s">
        <v>13</v>
      </c>
      <c r="L2" s="1168"/>
      <c r="M2" s="1168"/>
      <c r="N2" s="1168"/>
      <c r="O2" s="1168"/>
      <c r="P2" s="1168"/>
      <c r="Q2" s="1168"/>
      <c r="R2" s="1169"/>
      <c r="S2" s="472" t="s">
        <v>180</v>
      </c>
      <c r="T2" s="472"/>
      <c r="U2" s="472"/>
      <c r="V2" s="21" t="s">
        <v>15</v>
      </c>
      <c r="W2" s="474" t="s">
        <v>16</v>
      </c>
      <c r="X2" s="474" t="s">
        <v>19</v>
      </c>
      <c r="Y2" s="24" t="s">
        <v>21</v>
      </c>
      <c r="Z2" s="19" t="s">
        <v>22</v>
      </c>
      <c r="AA2" s="204" t="s">
        <v>23</v>
      </c>
      <c r="AB2" s="204" t="s">
        <v>24</v>
      </c>
      <c r="AC2" s="204" t="s">
        <v>25</v>
      </c>
      <c r="AD2" s="940" t="s">
        <v>26</v>
      </c>
    </row>
    <row r="3" s="446" customFormat="1" ht="25.5" customHeight="1" spans="1:31">
      <c r="A3" s="469"/>
      <c r="B3" s="470"/>
      <c r="C3" s="470"/>
      <c r="D3" s="470"/>
      <c r="E3" s="15"/>
      <c r="F3" s="15"/>
      <c r="G3" s="15"/>
      <c r="H3" s="470"/>
      <c r="I3" s="15"/>
      <c r="J3" s="15"/>
      <c r="K3" s="1170" t="s">
        <v>692</v>
      </c>
      <c r="L3" s="1170" t="s">
        <v>693</v>
      </c>
      <c r="M3" s="1170" t="s">
        <v>694</v>
      </c>
      <c r="N3" s="1170" t="s">
        <v>695</v>
      </c>
      <c r="O3" s="1170" t="s">
        <v>696</v>
      </c>
      <c r="P3" s="1170" t="s">
        <v>697</v>
      </c>
      <c r="Q3" s="1170" t="s">
        <v>698</v>
      </c>
      <c r="R3" s="1170" t="s">
        <v>699</v>
      </c>
      <c r="S3" s="19" t="s">
        <v>186</v>
      </c>
      <c r="T3" s="19" t="s">
        <v>187</v>
      </c>
      <c r="U3" s="19" t="s">
        <v>73</v>
      </c>
      <c r="V3" s="21"/>
      <c r="W3" s="474"/>
      <c r="X3" s="474"/>
      <c r="Y3" s="24"/>
      <c r="Z3" s="19"/>
      <c r="AA3" s="204"/>
      <c r="AB3" s="204"/>
      <c r="AC3" s="204"/>
      <c r="AD3" s="940"/>
    </row>
    <row r="4" s="3" customFormat="1" ht="60.95" hidden="1" customHeight="1" spans="1:31">
      <c r="A4" s="208">
        <f>ROW()-3</f>
        <v>1</v>
      </c>
      <c r="B4" s="48" t="s">
        <v>700</v>
      </c>
      <c r="C4" s="49" t="s">
        <v>701</v>
      </c>
      <c r="D4" s="50" t="s">
        <v>702</v>
      </c>
      <c r="E4" s="52">
        <v>45985</v>
      </c>
      <c r="F4" s="52">
        <v>46042</v>
      </c>
      <c r="G4" s="52">
        <v>46042</v>
      </c>
      <c r="H4" s="53">
        <v>46013</v>
      </c>
      <c r="I4" s="175">
        <f>SUBTOTAL(9,K4:R4)</f>
        <v>0</v>
      </c>
      <c r="J4" s="175">
        <v>6</v>
      </c>
      <c r="K4" s="175">
        <v>846</v>
      </c>
      <c r="L4" s="175">
        <v>1728</v>
      </c>
      <c r="M4" s="175">
        <v>1998</v>
      </c>
      <c r="N4" s="175"/>
      <c r="O4" s="175"/>
      <c r="P4" s="175">
        <v>744</v>
      </c>
      <c r="Q4" s="175">
        <v>450</v>
      </c>
      <c r="R4" s="175"/>
      <c r="S4" s="48" t="s">
        <v>703</v>
      </c>
      <c r="T4" s="49" t="s">
        <v>81</v>
      </c>
      <c r="U4" s="316" t="s">
        <v>672</v>
      </c>
      <c r="V4" s="49" t="s">
        <v>81</v>
      </c>
      <c r="W4" s="48" t="s">
        <v>704</v>
      </c>
      <c r="X4" s="48" t="s">
        <v>337</v>
      </c>
      <c r="Y4" s="48" t="s">
        <v>705</v>
      </c>
      <c r="Z4" s="212">
        <v>46040</v>
      </c>
      <c r="AA4" s="211">
        <v>46042</v>
      </c>
      <c r="AB4" s="308"/>
      <c r="AC4" s="176">
        <v>46051</v>
      </c>
      <c r="AD4" s="177" t="s">
        <v>706</v>
      </c>
      <c r="AE4" s="323" t="s">
        <v>707</v>
      </c>
    </row>
    <row r="5" s="3" customFormat="1" ht="27" customHeight="1" spans="1:31">
      <c r="A5" s="215">
        <f>ROW()-3</f>
        <v>2</v>
      </c>
      <c r="B5" s="183"/>
      <c r="C5" s="96"/>
      <c r="D5" s="216"/>
      <c r="E5" s="217"/>
      <c r="F5" s="217"/>
      <c r="G5" s="217"/>
      <c r="H5" s="218"/>
      <c r="I5" s="95"/>
      <c r="J5" s="95"/>
      <c r="K5" s="232"/>
      <c r="L5" s="232"/>
      <c r="M5" s="232"/>
      <c r="N5" s="232"/>
      <c r="O5" s="232"/>
      <c r="P5" s="232"/>
      <c r="Q5" s="232"/>
      <c r="R5" s="232"/>
      <c r="S5" s="492"/>
      <c r="T5" s="219"/>
      <c r="U5" s="319"/>
      <c r="V5" s="96"/>
      <c r="W5" s="183"/>
      <c r="X5" s="183"/>
      <c r="Y5" s="183"/>
      <c r="Z5" s="221"/>
      <c r="AA5" s="279"/>
      <c r="AB5" s="222"/>
      <c r="AC5" s="97"/>
      <c r="AD5" s="178"/>
    </row>
    <row r="6" s="3" customFormat="1" ht="27" customHeight="1" spans="1:31">
      <c r="A6" s="215">
        <f>ROW()-3</f>
        <v>3</v>
      </c>
      <c r="B6" s="183"/>
      <c r="C6" s="96"/>
      <c r="D6" s="216"/>
      <c r="E6" s="217"/>
      <c r="F6" s="217"/>
      <c r="G6" s="217"/>
      <c r="H6" s="218"/>
      <c r="I6" s="95"/>
      <c r="J6" s="95"/>
      <c r="K6" s="232"/>
      <c r="L6" s="232"/>
      <c r="M6" s="232"/>
      <c r="N6" s="232"/>
      <c r="O6" s="232"/>
      <c r="P6" s="232"/>
      <c r="Q6" s="232"/>
      <c r="R6" s="232"/>
      <c r="S6" s="492"/>
      <c r="T6" s="219"/>
      <c r="U6" s="319"/>
      <c r="V6" s="96"/>
      <c r="W6" s="183"/>
      <c r="X6" s="183"/>
      <c r="Y6" s="183"/>
      <c r="Z6" s="221"/>
      <c r="AA6" s="279"/>
      <c r="AB6" s="222"/>
      <c r="AC6" s="97"/>
      <c r="AD6" s="178"/>
    </row>
    <row r="7" s="3" customFormat="1" ht="27" customHeight="1" spans="1:31">
      <c r="A7" s="215">
        <f>ROW()-3</f>
        <v>4</v>
      </c>
      <c r="B7" s="183"/>
      <c r="C7" s="96"/>
      <c r="D7" s="1171"/>
      <c r="E7" s="217"/>
      <c r="F7" s="217"/>
      <c r="G7" s="217"/>
      <c r="H7" s="218"/>
      <c r="I7" s="95"/>
      <c r="J7" s="95"/>
      <c r="K7" s="232"/>
      <c r="L7" s="232"/>
      <c r="M7" s="232"/>
      <c r="N7" s="232"/>
      <c r="O7" s="232"/>
      <c r="P7" s="232"/>
      <c r="Q7" s="232"/>
      <c r="R7" s="232"/>
      <c r="S7" s="1172"/>
      <c r="T7" s="1172"/>
      <c r="U7" s="219"/>
      <c r="V7" s="96"/>
      <c r="W7" s="279"/>
      <c r="X7" s="183"/>
      <c r="Y7" s="183"/>
      <c r="Z7" s="280"/>
      <c r="AA7" s="222"/>
      <c r="AB7" s="97"/>
      <c r="AC7" s="97"/>
      <c r="AD7" s="178"/>
    </row>
    <row r="8" s="3" customFormat="1" ht="17.1" customHeight="1" spans="1:31">
      <c r="A8" s="93" t="s">
        <v>66</v>
      </c>
      <c r="B8" s="94"/>
      <c r="C8" s="94"/>
      <c r="D8" s="94"/>
      <c r="E8" s="94"/>
      <c r="F8" s="94"/>
      <c r="G8" s="94"/>
      <c r="H8" s="94"/>
      <c r="I8" s="95">
        <f>SUM(I4:I7)</f>
        <v>0</v>
      </c>
      <c r="J8" s="95"/>
      <c r="K8" s="95">
        <f t="shared" ref="K8:R8" si="0">SUM(K4:K7)</f>
        <v>846</v>
      </c>
      <c r="L8" s="95">
        <f t="shared" si="0"/>
        <v>1728</v>
      </c>
      <c r="M8" s="95">
        <f t="shared" si="0"/>
        <v>1998</v>
      </c>
      <c r="N8" s="95">
        <f t="shared" si="0"/>
        <v>0</v>
      </c>
      <c r="O8" s="95">
        <f t="shared" si="0"/>
        <v>0</v>
      </c>
      <c r="P8" s="95">
        <f t="shared" si="0"/>
        <v>744</v>
      </c>
      <c r="Q8" s="95">
        <f t="shared" si="0"/>
        <v>450</v>
      </c>
      <c r="R8" s="95">
        <f t="shared" si="0"/>
        <v>0</v>
      </c>
      <c r="S8" s="96"/>
      <c r="T8" s="96"/>
      <c r="U8" s="96"/>
      <c r="V8" s="96"/>
      <c r="W8" s="96"/>
      <c r="X8" s="96"/>
      <c r="Y8" s="183"/>
      <c r="Z8" s="97"/>
      <c r="AA8" s="97"/>
      <c r="AB8" s="97"/>
      <c r="AC8" s="97"/>
      <c r="AD8" s="98"/>
    </row>
    <row r="9" s="4" customFormat="1" ht="17.1" customHeight="1" spans="1:31">
      <c r="A9" s="99"/>
      <c r="B9" s="100"/>
      <c r="C9" s="100"/>
      <c r="D9" s="100"/>
      <c r="E9" s="100"/>
      <c r="F9" s="100"/>
      <c r="G9" s="100"/>
      <c r="H9" s="100"/>
      <c r="I9" s="100"/>
      <c r="J9" s="100"/>
      <c r="K9" s="133">
        <f>846</f>
        <v>846</v>
      </c>
      <c r="L9" s="147">
        <f>1728</f>
        <v>1728</v>
      </c>
      <c r="M9" s="147">
        <f>1998</f>
        <v>1998</v>
      </c>
      <c r="N9" s="147"/>
      <c r="O9" s="147"/>
      <c r="P9" s="147">
        <f>744</f>
        <v>744</v>
      </c>
      <c r="Q9" s="147">
        <f>450</f>
        <v>450</v>
      </c>
      <c r="R9" s="147"/>
      <c r="S9" s="100"/>
      <c r="T9" s="100"/>
      <c r="U9" s="100"/>
      <c r="V9" s="100"/>
      <c r="W9" s="100"/>
      <c r="X9" s="100"/>
      <c r="Y9" s="963"/>
      <c r="Z9" s="100"/>
      <c r="AA9" s="100"/>
      <c r="AB9" s="100"/>
      <c r="AC9" s="100"/>
      <c r="AD9" s="102"/>
    </row>
    <row r="10" s="4" customFormat="1" ht="17.1" customHeight="1" spans="1:31">
      <c r="A10" s="1138" t="s">
        <v>67</v>
      </c>
      <c r="B10" s="1139"/>
      <c r="C10" s="1139"/>
      <c r="D10" s="1139"/>
      <c r="E10" s="1139"/>
      <c r="F10" s="1139"/>
      <c r="G10" s="1139"/>
      <c r="H10" s="1139"/>
      <c r="I10" s="1139"/>
      <c r="J10" s="1139"/>
      <c r="K10" s="106">
        <f t="shared" ref="K10:R10" si="1">K9-K8</f>
        <v>0</v>
      </c>
      <c r="L10" s="106">
        <f t="shared" si="1"/>
        <v>0</v>
      </c>
      <c r="M10" s="106">
        <f t="shared" si="1"/>
        <v>0</v>
      </c>
      <c r="N10" s="106">
        <f t="shared" si="1"/>
        <v>0</v>
      </c>
      <c r="O10" s="106">
        <f t="shared" si="1"/>
        <v>0</v>
      </c>
      <c r="P10" s="106">
        <f t="shared" si="1"/>
        <v>0</v>
      </c>
      <c r="Q10" s="106">
        <f t="shared" si="1"/>
        <v>0</v>
      </c>
      <c r="R10" s="106">
        <f t="shared" si="1"/>
        <v>0</v>
      </c>
      <c r="S10" s="107"/>
      <c r="T10" s="107"/>
      <c r="U10" s="107"/>
      <c r="V10" s="107"/>
      <c r="W10" s="107"/>
      <c r="X10" s="107"/>
      <c r="Y10" s="839"/>
      <c r="Z10" s="107"/>
      <c r="AA10" s="107"/>
      <c r="AB10" s="107"/>
      <c r="AC10" s="107"/>
      <c r="AD10" s="109"/>
    </row>
    <row r="11" spans="1:31">
      <c r="B11" s="110" t="s">
        <v>68</v>
      </c>
      <c r="C11" s="110"/>
      <c r="D11" s="111"/>
      <c r="E11" s="111"/>
      <c r="F11" s="111"/>
      <c r="G11" s="111"/>
      <c r="H11" s="111"/>
    </row>
  </sheetData>
  <autoFilter xmlns:etc="http://www.wps.cn/officeDocument/2017/etCustomData" ref="A2:IY11" etc:filterBottomFollowUsedRange="0">
    <filterColumn colId="28">
      <filters blank="1"/>
    </filterColumn>
    <extLst/>
  </autoFilter>
  <mergeCells count="26">
    <mergeCell ref="A1:Y1"/>
    <mergeCell ref="AB1:AD1"/>
    <mergeCell ref="K2:R2"/>
    <mergeCell ref="S2:U2"/>
    <mergeCell ref="A8:H8"/>
    <mergeCell ref="A9:H9"/>
    <mergeCell ref="A10:J10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K10:R10">
    <cfRule type="cellIs" dxfId="0" priority="1" operator="lessThan">
      <formula>0</formula>
    </cfRule>
  </conditionalFormatting>
  <printOptions horizontalCentered="1"/>
  <pageMargins left="0.393700787401575" right="0.393700787401575" top="0.393700787401575" bottom="0.196850393700787" header="0.511811023622047" footer="0.511811023622047"/>
  <pageSetup paperSize="9" scale="59" firstPageNumber="4294967295" fitToHeight="0" orientation="landscape" useFirstPageNumber="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FF00"/>
    <pageSetUpPr fitToPage="1"/>
  </sheetPr>
  <dimension ref="A1:X44"/>
  <sheetViews>
    <sheetView zoomScaleSheetLayoutView="145" workbookViewId="0">
      <pane xSplit="11" ySplit="3" topLeftCell="L4" activePane="bottomRight" state="frozen"/>
      <selection/>
      <selection pane="topRight"/>
      <selection pane="bottomLeft"/>
      <selection pane="bottomRight" activeCell="R44" sqref="R44"/>
    </sheetView>
  </sheetViews>
  <sheetFormatPr defaultColWidth="9" defaultRowHeight="14.25"/>
  <cols>
    <col min="1" max="1" width="3.125" customWidth="1"/>
    <col min="2" max="2" width="8.125" customWidth="1"/>
    <col min="3" max="3" width="7.125" customWidth="1"/>
    <col min="4" max="5" width="13.625" customWidth="1"/>
    <col min="6" max="8" width="6" customWidth="1"/>
    <col min="9" max="9" width="6.875" customWidth="1"/>
    <col min="10" max="10" width="8.125" customWidth="1"/>
    <col min="11" max="11" width="5.125" customWidth="1"/>
    <col min="12" max="12" width="5.625" customWidth="1"/>
    <col min="13" max="13" width="5" customWidth="1"/>
    <col min="14" max="14" width="8.375" customWidth="1"/>
    <col min="15" max="15" width="6.875" customWidth="1"/>
    <col min="16" max="16" width="6.625" customWidth="1"/>
    <col min="17" max="17" width="6" customWidth="1"/>
    <col min="18" max="18" width="20.5" customWidth="1"/>
    <col min="19" max="19" width="8.625" customWidth="1"/>
    <col min="20" max="20" width="8.5" style="193" customWidth="1"/>
    <col min="21" max="21" width="8" style="1014" customWidth="1"/>
    <col min="22" max="22" width="7.5" style="193" customWidth="1"/>
    <col min="23" max="23" width="17.875" style="193" customWidth="1"/>
    <col min="24" max="24" width="18.125" style="1145" customWidth="1"/>
    <col min="25" max="202" width="9" customWidth="1"/>
  </cols>
  <sheetData>
    <row r="1" ht="35.1" customHeight="1" spans="1:24">
      <c r="A1" s="1146" t="s">
        <v>708</v>
      </c>
      <c r="B1" s="1146"/>
      <c r="C1" s="1146"/>
      <c r="D1" s="1146"/>
      <c r="E1" s="1146"/>
      <c r="F1" s="1146"/>
      <c r="G1" s="1146"/>
      <c r="H1" s="1146"/>
      <c r="I1" s="1146"/>
      <c r="J1" s="1146"/>
      <c r="K1" s="1146"/>
      <c r="L1" s="1146"/>
      <c r="M1" s="1146"/>
      <c r="N1" s="1146"/>
      <c r="O1" s="1146"/>
      <c r="P1" s="1146"/>
      <c r="Q1" s="1146"/>
      <c r="R1" s="1146"/>
      <c r="S1" s="1146"/>
      <c r="T1" s="981" t="s">
        <v>1</v>
      </c>
      <c r="U1" s="1147"/>
      <c r="V1" s="982"/>
      <c r="W1" s="331">
        <f ca="1">TODAY()</f>
        <v>46277</v>
      </c>
    </row>
    <row r="2" s="446" customFormat="1" ht="21.95" customHeight="1" spans="1:24">
      <c r="A2" s="15" t="s">
        <v>2</v>
      </c>
      <c r="B2" s="470" t="s">
        <v>3</v>
      </c>
      <c r="C2" s="470" t="s">
        <v>4</v>
      </c>
      <c r="D2" s="470" t="s">
        <v>5</v>
      </c>
      <c r="E2" s="93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472" t="s">
        <v>180</v>
      </c>
      <c r="M2" s="472"/>
      <c r="N2" s="472"/>
      <c r="O2" s="21" t="s">
        <v>379</v>
      </c>
      <c r="P2" s="21" t="s">
        <v>709</v>
      </c>
      <c r="Q2" s="474" t="s">
        <v>19</v>
      </c>
      <c r="R2" s="475" t="s">
        <v>21</v>
      </c>
      <c r="S2" s="19" t="s">
        <v>22</v>
      </c>
      <c r="T2" s="204" t="s">
        <v>23</v>
      </c>
      <c r="U2" s="987" t="s">
        <v>24</v>
      </c>
      <c r="V2" s="204" t="s">
        <v>25</v>
      </c>
      <c r="W2" s="470" t="s">
        <v>26</v>
      </c>
      <c r="X2" s="159" t="s">
        <v>65</v>
      </c>
    </row>
    <row r="3" s="446" customFormat="1" ht="30" customHeight="1" spans="1:24">
      <c r="A3" s="15"/>
      <c r="B3" s="470"/>
      <c r="C3" s="470"/>
      <c r="D3" s="470"/>
      <c r="E3" s="941"/>
      <c r="F3" s="15"/>
      <c r="G3" s="15"/>
      <c r="H3" s="15"/>
      <c r="I3" s="15"/>
      <c r="J3" s="15"/>
      <c r="K3" s="15"/>
      <c r="L3" s="19" t="s">
        <v>186</v>
      </c>
      <c r="M3" s="19" t="s">
        <v>187</v>
      </c>
      <c r="N3" s="19" t="s">
        <v>73</v>
      </c>
      <c r="O3" s="21"/>
      <c r="P3" s="21"/>
      <c r="Q3" s="474"/>
      <c r="R3" s="475"/>
      <c r="S3" s="19"/>
      <c r="T3" s="204"/>
      <c r="U3" s="987"/>
      <c r="V3" s="204"/>
      <c r="W3" s="470"/>
      <c r="X3" s="159"/>
    </row>
    <row r="4" s="3" customFormat="1" ht="27.75" hidden="1" customHeight="1" spans="1:24">
      <c r="A4" s="49">
        <f t="shared" ref="A4:A37" si="0">ROW()-3</f>
        <v>1</v>
      </c>
      <c r="B4" s="48" t="s">
        <v>341</v>
      </c>
      <c r="C4" s="49" t="s">
        <v>342</v>
      </c>
      <c r="D4" s="50" t="s">
        <v>346</v>
      </c>
      <c r="E4" s="50"/>
      <c r="F4" s="52">
        <v>45966</v>
      </c>
      <c r="G4" s="52">
        <v>46024</v>
      </c>
      <c r="H4" s="52">
        <v>46024</v>
      </c>
      <c r="I4" s="53">
        <v>45968</v>
      </c>
      <c r="J4" s="49">
        <f>93+276+396</f>
        <v>765</v>
      </c>
      <c r="K4" s="49">
        <v>3</v>
      </c>
      <c r="L4" s="48" t="s">
        <v>710</v>
      </c>
      <c r="M4" s="49" t="s">
        <v>81</v>
      </c>
      <c r="N4" s="49" t="s">
        <v>711</v>
      </c>
      <c r="O4" s="49" t="s">
        <v>712</v>
      </c>
      <c r="P4" s="48" t="s">
        <v>713</v>
      </c>
      <c r="Q4" s="48" t="s">
        <v>398</v>
      </c>
      <c r="R4" s="710" t="s">
        <v>714</v>
      </c>
      <c r="S4" s="212">
        <v>46021</v>
      </c>
      <c r="T4" s="176">
        <v>46021</v>
      </c>
      <c r="U4" s="1148"/>
      <c r="V4" s="176">
        <v>46041</v>
      </c>
      <c r="W4" s="1149" t="s">
        <v>715</v>
      </c>
      <c r="X4" s="323" t="s">
        <v>716</v>
      </c>
    </row>
    <row r="5" s="3" customFormat="1" ht="27.75" hidden="1" customHeight="1" spans="1:24">
      <c r="A5" s="49">
        <f t="shared" si="0"/>
        <v>2</v>
      </c>
      <c r="B5" s="48" t="s">
        <v>341</v>
      </c>
      <c r="C5" s="49" t="s">
        <v>342</v>
      </c>
      <c r="D5" s="50" t="s">
        <v>717</v>
      </c>
      <c r="E5" s="50" t="s">
        <v>718</v>
      </c>
      <c r="F5" s="52">
        <v>45989</v>
      </c>
      <c r="G5" s="52">
        <v>46083</v>
      </c>
      <c r="H5" s="52">
        <v>46083</v>
      </c>
      <c r="I5" s="53">
        <v>46024</v>
      </c>
      <c r="J5" s="49">
        <f>102+138</f>
        <v>240</v>
      </c>
      <c r="K5" s="49">
        <v>3</v>
      </c>
      <c r="L5" s="1076" t="s">
        <v>710</v>
      </c>
      <c r="M5" s="969" t="s">
        <v>81</v>
      </c>
      <c r="N5" s="969" t="s">
        <v>719</v>
      </c>
      <c r="O5" s="49" t="s">
        <v>712</v>
      </c>
      <c r="P5" s="48" t="s">
        <v>720</v>
      </c>
      <c r="Q5" s="48" t="s">
        <v>720</v>
      </c>
      <c r="R5" s="710" t="s">
        <v>714</v>
      </c>
      <c r="S5" s="212">
        <v>46080</v>
      </c>
      <c r="T5" s="176">
        <v>46086</v>
      </c>
      <c r="U5" s="1148"/>
      <c r="V5" s="211" t="s">
        <v>721</v>
      </c>
      <c r="W5" s="1149" t="s">
        <v>722</v>
      </c>
      <c r="X5" s="323" t="s">
        <v>716</v>
      </c>
    </row>
    <row r="6" s="3" customFormat="1" ht="27.75" hidden="1" customHeight="1" spans="1:24">
      <c r="A6" s="49">
        <f t="shared" si="0"/>
        <v>3</v>
      </c>
      <c r="B6" s="48" t="s">
        <v>341</v>
      </c>
      <c r="C6" s="49" t="s">
        <v>342</v>
      </c>
      <c r="D6" s="50" t="s">
        <v>717</v>
      </c>
      <c r="E6" s="50" t="s">
        <v>718</v>
      </c>
      <c r="F6" s="52">
        <v>46021</v>
      </c>
      <c r="G6" s="52">
        <v>46094</v>
      </c>
      <c r="H6" s="52">
        <v>46094</v>
      </c>
      <c r="I6" s="53">
        <v>46024</v>
      </c>
      <c r="J6" s="49">
        <v>102</v>
      </c>
      <c r="K6" s="49">
        <v>3</v>
      </c>
      <c r="L6" s="1076" t="s">
        <v>710</v>
      </c>
      <c r="M6" s="969" t="s">
        <v>81</v>
      </c>
      <c r="N6" s="969" t="s">
        <v>719</v>
      </c>
      <c r="O6" s="49" t="s">
        <v>712</v>
      </c>
      <c r="P6" s="48" t="s">
        <v>720</v>
      </c>
      <c r="Q6" s="48" t="s">
        <v>720</v>
      </c>
      <c r="R6" s="710" t="s">
        <v>714</v>
      </c>
      <c r="S6" s="212">
        <v>46092</v>
      </c>
      <c r="T6" s="176">
        <v>46086</v>
      </c>
      <c r="U6" s="1148"/>
      <c r="V6" s="176">
        <v>46090</v>
      </c>
      <c r="W6" s="1149" t="s">
        <v>723</v>
      </c>
      <c r="X6" s="323" t="s">
        <v>716</v>
      </c>
    </row>
    <row r="7" s="3" customFormat="1" ht="27.75" hidden="1" customHeight="1" spans="1:24">
      <c r="A7" s="49">
        <f t="shared" si="0"/>
        <v>4</v>
      </c>
      <c r="B7" s="48" t="s">
        <v>341</v>
      </c>
      <c r="C7" s="49" t="s">
        <v>342</v>
      </c>
      <c r="D7" s="50" t="s">
        <v>717</v>
      </c>
      <c r="E7" s="50" t="s">
        <v>718</v>
      </c>
      <c r="F7" s="52">
        <v>46021</v>
      </c>
      <c r="G7" s="52">
        <v>46094</v>
      </c>
      <c r="H7" s="52">
        <v>46094</v>
      </c>
      <c r="I7" s="53">
        <v>46024</v>
      </c>
      <c r="J7" s="49">
        <v>402</v>
      </c>
      <c r="K7" s="49">
        <v>3</v>
      </c>
      <c r="L7" s="1076" t="s">
        <v>710</v>
      </c>
      <c r="M7" s="969" t="s">
        <v>81</v>
      </c>
      <c r="N7" s="969" t="s">
        <v>719</v>
      </c>
      <c r="O7" s="49" t="s">
        <v>712</v>
      </c>
      <c r="P7" s="48" t="s">
        <v>720</v>
      </c>
      <c r="Q7" s="48" t="s">
        <v>720</v>
      </c>
      <c r="R7" s="710" t="s">
        <v>714</v>
      </c>
      <c r="S7" s="212">
        <v>46092</v>
      </c>
      <c r="T7" s="176">
        <v>46086</v>
      </c>
      <c r="U7" s="1148"/>
      <c r="V7" s="176">
        <v>46111</v>
      </c>
      <c r="W7" s="1149" t="s">
        <v>724</v>
      </c>
      <c r="X7" s="323" t="s">
        <v>716</v>
      </c>
    </row>
    <row r="8" s="3" customFormat="1" ht="42" hidden="1" customHeight="1" spans="1:24">
      <c r="A8" s="49">
        <f t="shared" si="0"/>
        <v>5</v>
      </c>
      <c r="B8" s="48" t="s">
        <v>725</v>
      </c>
      <c r="C8" s="49" t="s">
        <v>726</v>
      </c>
      <c r="D8" s="50" t="s">
        <v>727</v>
      </c>
      <c r="E8" s="50" t="s">
        <v>728</v>
      </c>
      <c r="F8" s="52">
        <v>46049</v>
      </c>
      <c r="G8" s="52">
        <v>46134</v>
      </c>
      <c r="H8" s="52">
        <v>46134</v>
      </c>
      <c r="I8" s="53">
        <v>46058</v>
      </c>
      <c r="J8" s="49">
        <v>550</v>
      </c>
      <c r="K8" s="49">
        <v>2</v>
      </c>
      <c r="L8" s="1076" t="s">
        <v>729</v>
      </c>
      <c r="M8" s="969" t="s">
        <v>104</v>
      </c>
      <c r="N8" s="969" t="s">
        <v>127</v>
      </c>
      <c r="O8" s="48" t="s">
        <v>712</v>
      </c>
      <c r="P8" s="48" t="s">
        <v>730</v>
      </c>
      <c r="Q8" s="48" t="s">
        <v>299</v>
      </c>
      <c r="R8" s="710" t="s">
        <v>731</v>
      </c>
      <c r="S8" s="212">
        <v>46134</v>
      </c>
      <c r="T8" s="176">
        <v>46136</v>
      </c>
      <c r="U8" s="1150"/>
      <c r="V8" s="176">
        <v>46177</v>
      </c>
      <c r="W8" s="1151" t="s">
        <v>732</v>
      </c>
      <c r="X8" s="323" t="s">
        <v>733</v>
      </c>
    </row>
    <row r="9" s="3" customFormat="1" ht="42" hidden="1" customHeight="1" spans="1:24">
      <c r="A9" s="49">
        <f t="shared" si="0"/>
        <v>6</v>
      </c>
      <c r="B9" s="48" t="s">
        <v>725</v>
      </c>
      <c r="C9" s="49" t="s">
        <v>726</v>
      </c>
      <c r="D9" s="50" t="s">
        <v>734</v>
      </c>
      <c r="E9" s="50" t="s">
        <v>735</v>
      </c>
      <c r="F9" s="52">
        <v>46049</v>
      </c>
      <c r="G9" s="52">
        <v>46134</v>
      </c>
      <c r="H9" s="52">
        <v>46134</v>
      </c>
      <c r="I9" s="53">
        <v>46058</v>
      </c>
      <c r="J9" s="49">
        <v>1602</v>
      </c>
      <c r="K9" s="49">
        <v>2</v>
      </c>
      <c r="L9" s="1076" t="s">
        <v>729</v>
      </c>
      <c r="M9" s="969" t="s">
        <v>104</v>
      </c>
      <c r="N9" s="969" t="s">
        <v>127</v>
      </c>
      <c r="O9" s="48" t="s">
        <v>712</v>
      </c>
      <c r="P9" s="48" t="s">
        <v>730</v>
      </c>
      <c r="Q9" s="48" t="s">
        <v>299</v>
      </c>
      <c r="R9" s="710" t="s">
        <v>731</v>
      </c>
      <c r="S9" s="212">
        <v>46134</v>
      </c>
      <c r="T9" s="176">
        <v>46136</v>
      </c>
      <c r="U9" s="1150"/>
      <c r="V9" s="176">
        <v>46163</v>
      </c>
      <c r="W9" s="1151" t="s">
        <v>736</v>
      </c>
      <c r="X9" s="323" t="s">
        <v>733</v>
      </c>
    </row>
    <row r="10" s="3" customFormat="1" ht="27.75" hidden="1" customHeight="1" spans="1:24">
      <c r="A10" s="49">
        <f t="shared" si="0"/>
        <v>7</v>
      </c>
      <c r="B10" s="48" t="s">
        <v>394</v>
      </c>
      <c r="C10" s="49" t="s">
        <v>342</v>
      </c>
      <c r="D10" s="50" t="s">
        <v>450</v>
      </c>
      <c r="E10" s="51" t="s">
        <v>451</v>
      </c>
      <c r="F10" s="52">
        <v>46079</v>
      </c>
      <c r="G10" s="52">
        <v>46149</v>
      </c>
      <c r="H10" s="52">
        <v>46149</v>
      </c>
      <c r="I10" s="53">
        <v>46094</v>
      </c>
      <c r="J10" s="49">
        <v>102</v>
      </c>
      <c r="K10" s="49">
        <v>3</v>
      </c>
      <c r="L10" s="1076" t="s">
        <v>82</v>
      </c>
      <c r="M10" s="969" t="s">
        <v>81</v>
      </c>
      <c r="N10" s="969" t="s">
        <v>127</v>
      </c>
      <c r="O10" s="48" t="s">
        <v>712</v>
      </c>
      <c r="P10" s="48" t="s">
        <v>737</v>
      </c>
      <c r="Q10" s="48" t="s">
        <v>299</v>
      </c>
      <c r="R10" s="710" t="s">
        <v>714</v>
      </c>
      <c r="S10" s="212">
        <v>46149</v>
      </c>
      <c r="T10" s="176">
        <v>46136</v>
      </c>
      <c r="U10" s="1150"/>
      <c r="V10" s="176">
        <v>46148</v>
      </c>
      <c r="W10" s="1151" t="s">
        <v>738</v>
      </c>
      <c r="X10" s="323" t="s">
        <v>716</v>
      </c>
    </row>
    <row r="11" s="3" customFormat="1" ht="27.75" hidden="1" customHeight="1" spans="1:24">
      <c r="A11" s="49">
        <f t="shared" si="0"/>
        <v>8</v>
      </c>
      <c r="B11" s="48" t="s">
        <v>394</v>
      </c>
      <c r="C11" s="49" t="s">
        <v>342</v>
      </c>
      <c r="D11" s="50" t="s">
        <v>450</v>
      </c>
      <c r="E11" s="51" t="s">
        <v>451</v>
      </c>
      <c r="F11" s="52">
        <v>46079</v>
      </c>
      <c r="G11" s="52">
        <v>46149</v>
      </c>
      <c r="H11" s="52">
        <v>46149</v>
      </c>
      <c r="I11" s="53">
        <v>46094</v>
      </c>
      <c r="J11" s="49">
        <v>102</v>
      </c>
      <c r="K11" s="49">
        <v>3</v>
      </c>
      <c r="L11" s="1076" t="s">
        <v>82</v>
      </c>
      <c r="M11" s="969" t="s">
        <v>81</v>
      </c>
      <c r="N11" s="969" t="s">
        <v>127</v>
      </c>
      <c r="O11" s="48" t="s">
        <v>712</v>
      </c>
      <c r="P11" s="48" t="s">
        <v>82</v>
      </c>
      <c r="Q11" s="48" t="s">
        <v>299</v>
      </c>
      <c r="R11" s="710" t="s">
        <v>714</v>
      </c>
      <c r="S11" s="212">
        <v>46149</v>
      </c>
      <c r="T11" s="176">
        <v>46136</v>
      </c>
      <c r="U11" s="1150"/>
      <c r="V11" s="176">
        <v>46148</v>
      </c>
      <c r="W11" s="1151" t="s">
        <v>739</v>
      </c>
      <c r="X11" s="323" t="s">
        <v>716</v>
      </c>
    </row>
    <row r="12" s="3" customFormat="1" ht="27.75" hidden="1" customHeight="1" spans="1:24">
      <c r="A12" s="49">
        <f t="shared" si="0"/>
        <v>9</v>
      </c>
      <c r="B12" s="48" t="s">
        <v>740</v>
      </c>
      <c r="C12" s="49" t="s">
        <v>741</v>
      </c>
      <c r="D12" s="50" t="s">
        <v>742</v>
      </c>
      <c r="E12" s="51" t="s">
        <v>743</v>
      </c>
      <c r="F12" s="52">
        <v>46083</v>
      </c>
      <c r="G12" s="52">
        <v>46165</v>
      </c>
      <c r="H12" s="52">
        <v>46165</v>
      </c>
      <c r="I12" s="53">
        <v>46133</v>
      </c>
      <c r="J12" s="49">
        <v>120</v>
      </c>
      <c r="K12" s="49">
        <v>2</v>
      </c>
      <c r="L12" s="1076" t="s">
        <v>82</v>
      </c>
      <c r="M12" s="969" t="s">
        <v>81</v>
      </c>
      <c r="N12" s="969" t="s">
        <v>499</v>
      </c>
      <c r="O12" s="48" t="s">
        <v>712</v>
      </c>
      <c r="P12" s="48" t="s">
        <v>459</v>
      </c>
      <c r="Q12" s="37" t="s">
        <v>744</v>
      </c>
      <c r="R12" s="710" t="s">
        <v>745</v>
      </c>
      <c r="S12" s="212">
        <v>46165</v>
      </c>
      <c r="T12" s="176">
        <v>46163</v>
      </c>
      <c r="U12" s="1150"/>
      <c r="V12" s="176">
        <v>46174</v>
      </c>
      <c r="W12" s="1151" t="s">
        <v>746</v>
      </c>
      <c r="X12" s="323" t="s">
        <v>733</v>
      </c>
    </row>
    <row r="13" s="3" customFormat="1" ht="27.75" hidden="1" customHeight="1" spans="1:24">
      <c r="A13" s="49">
        <f t="shared" si="0"/>
        <v>10</v>
      </c>
      <c r="B13" s="48" t="s">
        <v>570</v>
      </c>
      <c r="C13" s="49" t="s">
        <v>325</v>
      </c>
      <c r="D13" s="50" t="s">
        <v>747</v>
      </c>
      <c r="E13" s="51" t="s">
        <v>748</v>
      </c>
      <c r="F13" s="52">
        <v>46100</v>
      </c>
      <c r="G13" s="52">
        <v>46174</v>
      </c>
      <c r="H13" s="52">
        <v>46174</v>
      </c>
      <c r="I13" s="53">
        <v>46129</v>
      </c>
      <c r="J13" s="49">
        <v>300</v>
      </c>
      <c r="K13" s="49">
        <v>3</v>
      </c>
      <c r="L13" s="1076" t="s">
        <v>82</v>
      </c>
      <c r="M13" s="969" t="s">
        <v>81</v>
      </c>
      <c r="N13" s="969" t="s">
        <v>499</v>
      </c>
      <c r="O13" s="48" t="s">
        <v>712</v>
      </c>
      <c r="P13" s="48" t="s">
        <v>749</v>
      </c>
      <c r="Q13" s="712" t="s">
        <v>514</v>
      </c>
      <c r="R13" s="710" t="s">
        <v>750</v>
      </c>
      <c r="S13" s="212">
        <v>46174</v>
      </c>
      <c r="T13" s="176">
        <v>46175</v>
      </c>
      <c r="U13" s="1148"/>
      <c r="V13" s="176">
        <v>46188</v>
      </c>
      <c r="W13" s="1149" t="s">
        <v>751</v>
      </c>
      <c r="X13" s="323" t="s">
        <v>716</v>
      </c>
    </row>
    <row r="14" s="3" customFormat="1" ht="27.75" hidden="1" customHeight="1" spans="1:24">
      <c r="A14" s="49">
        <f t="shared" si="0"/>
        <v>11</v>
      </c>
      <c r="B14" s="48" t="s">
        <v>394</v>
      </c>
      <c r="C14" s="49" t="s">
        <v>342</v>
      </c>
      <c r="D14" s="50" t="s">
        <v>497</v>
      </c>
      <c r="E14" s="50" t="s">
        <v>498</v>
      </c>
      <c r="F14" s="52">
        <v>46105</v>
      </c>
      <c r="G14" s="52">
        <v>46177</v>
      </c>
      <c r="H14" s="52">
        <v>46177</v>
      </c>
      <c r="I14" s="53">
        <v>46127</v>
      </c>
      <c r="J14" s="49">
        <v>393</v>
      </c>
      <c r="K14" s="49">
        <v>3</v>
      </c>
      <c r="L14" s="1076" t="s">
        <v>82</v>
      </c>
      <c r="M14" s="969" t="s">
        <v>81</v>
      </c>
      <c r="N14" s="969" t="s">
        <v>499</v>
      </c>
      <c r="O14" s="48" t="s">
        <v>712</v>
      </c>
      <c r="P14" s="48" t="s">
        <v>82</v>
      </c>
      <c r="Q14" s="48" t="s">
        <v>501</v>
      </c>
      <c r="R14" s="710" t="s">
        <v>714</v>
      </c>
      <c r="S14" s="212">
        <v>46177</v>
      </c>
      <c r="T14" s="176">
        <v>46175</v>
      </c>
      <c r="U14" s="1152"/>
      <c r="V14" s="176">
        <v>46207</v>
      </c>
      <c r="W14" s="1149" t="s">
        <v>752</v>
      </c>
      <c r="X14" s="323" t="s">
        <v>716</v>
      </c>
    </row>
    <row r="15" s="3" customFormat="1" ht="27.75" hidden="1" customHeight="1" spans="1:24">
      <c r="A15" s="49">
        <f t="shared" si="0"/>
        <v>12</v>
      </c>
      <c r="B15" s="48" t="s">
        <v>383</v>
      </c>
      <c r="C15" s="49" t="s">
        <v>114</v>
      </c>
      <c r="D15" s="50" t="s">
        <v>753</v>
      </c>
      <c r="E15" s="51" t="s">
        <v>513</v>
      </c>
      <c r="F15" s="52">
        <v>46107</v>
      </c>
      <c r="G15" s="52">
        <v>46191</v>
      </c>
      <c r="H15" s="52">
        <v>46191</v>
      </c>
      <c r="I15" s="53">
        <v>46135</v>
      </c>
      <c r="J15" s="49">
        <v>102</v>
      </c>
      <c r="K15" s="49">
        <v>3</v>
      </c>
      <c r="L15" s="1076" t="s">
        <v>82</v>
      </c>
      <c r="M15" s="969" t="s">
        <v>81</v>
      </c>
      <c r="N15" s="969" t="s">
        <v>499</v>
      </c>
      <c r="O15" s="48" t="s">
        <v>712</v>
      </c>
      <c r="P15" s="48" t="s">
        <v>82</v>
      </c>
      <c r="Q15" s="48" t="s">
        <v>514</v>
      </c>
      <c r="R15" s="710" t="s">
        <v>754</v>
      </c>
      <c r="S15" s="212">
        <v>46191</v>
      </c>
      <c r="T15" s="176">
        <v>46175</v>
      </c>
      <c r="U15" s="1045"/>
      <c r="V15" s="176">
        <v>46207</v>
      </c>
      <c r="W15" s="1151" t="s">
        <v>755</v>
      </c>
      <c r="X15" s="323" t="s">
        <v>716</v>
      </c>
    </row>
    <row r="16" s="3" customFormat="1" ht="27.75" hidden="1" customHeight="1" spans="1:24">
      <c r="A16" s="49">
        <f t="shared" si="0"/>
        <v>13</v>
      </c>
      <c r="B16" s="48" t="s">
        <v>394</v>
      </c>
      <c r="C16" s="49" t="s">
        <v>342</v>
      </c>
      <c r="D16" s="50" t="s">
        <v>524</v>
      </c>
      <c r="E16" s="51" t="s">
        <v>525</v>
      </c>
      <c r="F16" s="52">
        <v>46105</v>
      </c>
      <c r="G16" s="52">
        <v>46203</v>
      </c>
      <c r="H16" s="52">
        <v>46203</v>
      </c>
      <c r="I16" s="53">
        <v>46156</v>
      </c>
      <c r="J16" s="49">
        <v>783</v>
      </c>
      <c r="K16" s="49">
        <v>3</v>
      </c>
      <c r="L16" s="48" t="s">
        <v>82</v>
      </c>
      <c r="M16" s="49" t="s">
        <v>81</v>
      </c>
      <c r="N16" s="49" t="s">
        <v>499</v>
      </c>
      <c r="O16" s="48" t="s">
        <v>712</v>
      </c>
      <c r="P16" s="48" t="s">
        <v>82</v>
      </c>
      <c r="Q16" s="48" t="s">
        <v>526</v>
      </c>
      <c r="R16" s="710" t="s">
        <v>714</v>
      </c>
      <c r="S16" s="212">
        <v>46203</v>
      </c>
      <c r="T16" s="176">
        <v>46204</v>
      </c>
      <c r="U16" s="1045"/>
      <c r="V16" s="1045">
        <v>46216</v>
      </c>
      <c r="W16" s="1149" t="s">
        <v>756</v>
      </c>
      <c r="X16" s="323" t="s">
        <v>716</v>
      </c>
    </row>
    <row r="17" s="3" customFormat="1" ht="27.75" hidden="1" customHeight="1" spans="1:24">
      <c r="A17" s="49">
        <f t="shared" si="0"/>
        <v>14</v>
      </c>
      <c r="B17" s="48" t="s">
        <v>394</v>
      </c>
      <c r="C17" s="49" t="s">
        <v>342</v>
      </c>
      <c r="D17" s="50" t="s">
        <v>524</v>
      </c>
      <c r="E17" s="51" t="s">
        <v>525</v>
      </c>
      <c r="F17" s="52">
        <v>46105</v>
      </c>
      <c r="G17" s="52">
        <v>46203</v>
      </c>
      <c r="H17" s="52">
        <v>46203</v>
      </c>
      <c r="I17" s="53">
        <v>46156</v>
      </c>
      <c r="J17" s="49">
        <v>525</v>
      </c>
      <c r="K17" s="49">
        <v>3</v>
      </c>
      <c r="L17" s="48" t="s">
        <v>82</v>
      </c>
      <c r="M17" s="49" t="s">
        <v>81</v>
      </c>
      <c r="N17" s="49" t="s">
        <v>757</v>
      </c>
      <c r="O17" s="48" t="s">
        <v>712</v>
      </c>
      <c r="P17" s="48" t="s">
        <v>758</v>
      </c>
      <c r="Q17" s="48" t="s">
        <v>526</v>
      </c>
      <c r="R17" s="710" t="s">
        <v>714</v>
      </c>
      <c r="S17" s="212">
        <v>46203</v>
      </c>
      <c r="T17" s="176">
        <v>46204</v>
      </c>
      <c r="U17" s="1045"/>
      <c r="V17" s="1045">
        <v>46216</v>
      </c>
      <c r="W17" s="1149" t="s">
        <v>759</v>
      </c>
      <c r="X17" s="323" t="s">
        <v>716</v>
      </c>
    </row>
    <row r="18" s="3" customFormat="1" ht="27.75" hidden="1" customHeight="1" spans="1:24">
      <c r="A18" s="49">
        <f t="shared" si="0"/>
        <v>15</v>
      </c>
      <c r="B18" s="48" t="s">
        <v>394</v>
      </c>
      <c r="C18" s="49" t="s">
        <v>342</v>
      </c>
      <c r="D18" s="50" t="s">
        <v>532</v>
      </c>
      <c r="E18" s="51" t="s">
        <v>533</v>
      </c>
      <c r="F18" s="52">
        <v>46129</v>
      </c>
      <c r="G18" s="52">
        <v>46205</v>
      </c>
      <c r="H18" s="52">
        <v>46205</v>
      </c>
      <c r="I18" s="53">
        <v>46156</v>
      </c>
      <c r="J18" s="49">
        <v>132</v>
      </c>
      <c r="K18" s="49">
        <v>3</v>
      </c>
      <c r="L18" s="48" t="s">
        <v>82</v>
      </c>
      <c r="M18" s="49" t="s">
        <v>81</v>
      </c>
      <c r="N18" s="49" t="s">
        <v>757</v>
      </c>
      <c r="O18" s="48" t="s">
        <v>712</v>
      </c>
      <c r="P18" s="48" t="s">
        <v>526</v>
      </c>
      <c r="Q18" s="48" t="s">
        <v>561</v>
      </c>
      <c r="R18" s="710" t="s">
        <v>714</v>
      </c>
      <c r="S18" s="212">
        <v>46205</v>
      </c>
      <c r="T18" s="176">
        <v>46204</v>
      </c>
      <c r="U18" s="1045"/>
      <c r="V18" s="1045">
        <v>46214</v>
      </c>
      <c r="W18" s="1149" t="s">
        <v>760</v>
      </c>
      <c r="X18" s="323" t="s">
        <v>716</v>
      </c>
    </row>
    <row r="19" s="3" customFormat="1" ht="27.75" hidden="1" customHeight="1" spans="1:24">
      <c r="A19" s="49">
        <f t="shared" si="0"/>
        <v>16</v>
      </c>
      <c r="B19" s="48" t="s">
        <v>394</v>
      </c>
      <c r="C19" s="49" t="s">
        <v>342</v>
      </c>
      <c r="D19" s="50" t="s">
        <v>532</v>
      </c>
      <c r="E19" s="51" t="s">
        <v>533</v>
      </c>
      <c r="F19" s="52">
        <v>46129</v>
      </c>
      <c r="G19" s="52">
        <v>46205</v>
      </c>
      <c r="H19" s="52">
        <v>46205</v>
      </c>
      <c r="I19" s="53">
        <v>46156</v>
      </c>
      <c r="J19" s="49">
        <v>342</v>
      </c>
      <c r="K19" s="49">
        <v>3</v>
      </c>
      <c r="L19" s="48" t="s">
        <v>82</v>
      </c>
      <c r="M19" s="49" t="s">
        <v>81</v>
      </c>
      <c r="N19" s="49" t="s">
        <v>757</v>
      </c>
      <c r="O19" s="48" t="s">
        <v>712</v>
      </c>
      <c r="P19" s="48" t="s">
        <v>526</v>
      </c>
      <c r="Q19" s="48" t="s">
        <v>561</v>
      </c>
      <c r="R19" s="710" t="s">
        <v>714</v>
      </c>
      <c r="S19" s="212">
        <v>46205</v>
      </c>
      <c r="T19" s="176">
        <v>46204</v>
      </c>
      <c r="U19" s="1045"/>
      <c r="V19" s="1045">
        <v>46214</v>
      </c>
      <c r="W19" s="1149" t="s">
        <v>761</v>
      </c>
      <c r="X19" s="323" t="s">
        <v>716</v>
      </c>
    </row>
    <row r="20" s="3" customFormat="1" ht="27.75" hidden="1" customHeight="1" spans="1:24">
      <c r="A20" s="49">
        <f t="shared" si="0"/>
        <v>17</v>
      </c>
      <c r="B20" s="48" t="s">
        <v>394</v>
      </c>
      <c r="C20" s="49" t="s">
        <v>342</v>
      </c>
      <c r="D20" s="50" t="s">
        <v>532</v>
      </c>
      <c r="E20" s="51" t="s">
        <v>533</v>
      </c>
      <c r="F20" s="52">
        <v>46129</v>
      </c>
      <c r="G20" s="52">
        <v>46205</v>
      </c>
      <c r="H20" s="52">
        <v>46205</v>
      </c>
      <c r="I20" s="53">
        <v>46156</v>
      </c>
      <c r="J20" s="49">
        <v>306</v>
      </c>
      <c r="K20" s="49">
        <v>3</v>
      </c>
      <c r="L20" s="48" t="s">
        <v>82</v>
      </c>
      <c r="M20" s="49" t="s">
        <v>81</v>
      </c>
      <c r="N20" s="49" t="s">
        <v>757</v>
      </c>
      <c r="O20" s="48" t="s">
        <v>712</v>
      </c>
      <c r="P20" s="48" t="s">
        <v>526</v>
      </c>
      <c r="Q20" s="48" t="s">
        <v>561</v>
      </c>
      <c r="R20" s="710" t="s">
        <v>714</v>
      </c>
      <c r="S20" s="212">
        <v>46205</v>
      </c>
      <c r="T20" s="176">
        <v>46204</v>
      </c>
      <c r="U20" s="1045"/>
      <c r="V20" s="1045">
        <v>46214</v>
      </c>
      <c r="W20" s="1149" t="s">
        <v>762</v>
      </c>
      <c r="X20" s="323" t="s">
        <v>716</v>
      </c>
    </row>
    <row r="21" s="3" customFormat="1" ht="27.75" hidden="1" customHeight="1" spans="1:24">
      <c r="A21" s="49">
        <f t="shared" si="0"/>
        <v>18</v>
      </c>
      <c r="B21" s="48" t="s">
        <v>394</v>
      </c>
      <c r="C21" s="49" t="s">
        <v>342</v>
      </c>
      <c r="D21" s="50" t="s">
        <v>532</v>
      </c>
      <c r="E21" s="51" t="s">
        <v>533</v>
      </c>
      <c r="F21" s="52">
        <v>46129</v>
      </c>
      <c r="G21" s="52">
        <v>46205</v>
      </c>
      <c r="H21" s="52">
        <v>46205</v>
      </c>
      <c r="I21" s="53">
        <v>46156</v>
      </c>
      <c r="J21" s="49">
        <v>210</v>
      </c>
      <c r="K21" s="49">
        <v>3</v>
      </c>
      <c r="L21" s="48" t="s">
        <v>82</v>
      </c>
      <c r="M21" s="49" t="s">
        <v>81</v>
      </c>
      <c r="N21" s="49" t="s">
        <v>757</v>
      </c>
      <c r="O21" s="48" t="s">
        <v>712</v>
      </c>
      <c r="P21" s="48" t="s">
        <v>526</v>
      </c>
      <c r="Q21" s="48" t="s">
        <v>561</v>
      </c>
      <c r="R21" s="710" t="s">
        <v>714</v>
      </c>
      <c r="S21" s="212">
        <v>46205</v>
      </c>
      <c r="T21" s="176">
        <v>46204</v>
      </c>
      <c r="U21" s="1045"/>
      <c r="V21" s="1045">
        <v>46214</v>
      </c>
      <c r="W21" s="1149" t="s">
        <v>763</v>
      </c>
      <c r="X21" s="323" t="s">
        <v>716</v>
      </c>
    </row>
    <row r="22" s="3" customFormat="1" ht="27.75" hidden="1" customHeight="1" spans="1:24">
      <c r="A22" s="49">
        <f t="shared" si="0"/>
        <v>19</v>
      </c>
      <c r="B22" s="48" t="s">
        <v>383</v>
      </c>
      <c r="C22" s="49" t="s">
        <v>114</v>
      </c>
      <c r="D22" s="50" t="s">
        <v>559</v>
      </c>
      <c r="E22" s="50" t="s">
        <v>560</v>
      </c>
      <c r="F22" s="52">
        <v>46107</v>
      </c>
      <c r="G22" s="52">
        <v>46219</v>
      </c>
      <c r="H22" s="52">
        <v>46219</v>
      </c>
      <c r="I22" s="53">
        <v>46169</v>
      </c>
      <c r="J22" s="49">
        <v>102</v>
      </c>
      <c r="K22" s="49">
        <v>3</v>
      </c>
      <c r="L22" s="48" t="s">
        <v>82</v>
      </c>
      <c r="M22" s="49" t="s">
        <v>81</v>
      </c>
      <c r="N22" s="49" t="s">
        <v>757</v>
      </c>
      <c r="O22" s="48" t="s">
        <v>712</v>
      </c>
      <c r="P22" s="48" t="s">
        <v>526</v>
      </c>
      <c r="Q22" s="48" t="s">
        <v>561</v>
      </c>
      <c r="R22" s="710" t="s">
        <v>754</v>
      </c>
      <c r="S22" s="212">
        <v>46219</v>
      </c>
      <c r="T22" s="176">
        <v>46218</v>
      </c>
      <c r="U22" s="1152"/>
      <c r="V22" s="176">
        <v>46247</v>
      </c>
      <c r="W22" s="1149" t="s">
        <v>764</v>
      </c>
      <c r="X22" s="323" t="s">
        <v>716</v>
      </c>
    </row>
    <row r="23" s="3" customFormat="1" ht="27.75" hidden="1" customHeight="1" spans="1:24">
      <c r="A23" s="49">
        <f t="shared" si="0"/>
        <v>20</v>
      </c>
      <c r="B23" s="48" t="s">
        <v>394</v>
      </c>
      <c r="C23" s="49" t="s">
        <v>342</v>
      </c>
      <c r="D23" s="50" t="s">
        <v>765</v>
      </c>
      <c r="E23" s="51" t="s">
        <v>766</v>
      </c>
      <c r="F23" s="52">
        <v>46105</v>
      </c>
      <c r="G23" s="52">
        <v>46238</v>
      </c>
      <c r="H23" s="52">
        <v>46238</v>
      </c>
      <c r="I23" s="53">
        <v>46185</v>
      </c>
      <c r="J23" s="49">
        <v>180</v>
      </c>
      <c r="K23" s="49">
        <v>3</v>
      </c>
      <c r="L23" s="48" t="s">
        <v>82</v>
      </c>
      <c r="M23" s="49" t="s">
        <v>81</v>
      </c>
      <c r="N23" s="49" t="s">
        <v>767</v>
      </c>
      <c r="O23" s="48" t="s">
        <v>712</v>
      </c>
      <c r="P23" s="48" t="s">
        <v>582</v>
      </c>
      <c r="Q23" s="48" t="s">
        <v>603</v>
      </c>
      <c r="R23" s="710" t="s">
        <v>714</v>
      </c>
      <c r="S23" s="212">
        <v>46238</v>
      </c>
      <c r="T23" s="176">
        <v>46239</v>
      </c>
      <c r="U23" s="1152"/>
      <c r="V23" s="176">
        <v>46249</v>
      </c>
      <c r="W23" s="1149" t="s">
        <v>768</v>
      </c>
      <c r="X23" s="323" t="s">
        <v>716</v>
      </c>
    </row>
    <row r="24" s="3" customFormat="1" ht="27.75" hidden="1" customHeight="1" spans="1:24">
      <c r="A24" s="49">
        <f t="shared" si="0"/>
        <v>21</v>
      </c>
      <c r="B24" s="48" t="s">
        <v>394</v>
      </c>
      <c r="C24" s="49" t="s">
        <v>342</v>
      </c>
      <c r="D24" s="50" t="s">
        <v>765</v>
      </c>
      <c r="E24" s="51" t="s">
        <v>766</v>
      </c>
      <c r="F24" s="52">
        <v>46105</v>
      </c>
      <c r="G24" s="52">
        <v>46238</v>
      </c>
      <c r="H24" s="52">
        <v>46238</v>
      </c>
      <c r="I24" s="53">
        <v>46185</v>
      </c>
      <c r="J24" s="49">
        <v>495</v>
      </c>
      <c r="K24" s="49">
        <v>3</v>
      </c>
      <c r="L24" s="48" t="s">
        <v>82</v>
      </c>
      <c r="M24" s="49" t="s">
        <v>81</v>
      </c>
      <c r="N24" s="49" t="s">
        <v>767</v>
      </c>
      <c r="O24" s="48" t="s">
        <v>712</v>
      </c>
      <c r="P24" s="48" t="s">
        <v>582</v>
      </c>
      <c r="Q24" s="48" t="s">
        <v>603</v>
      </c>
      <c r="R24" s="710" t="s">
        <v>714</v>
      </c>
      <c r="S24" s="212">
        <v>46238</v>
      </c>
      <c r="T24" s="176">
        <v>46239</v>
      </c>
      <c r="U24" s="1152"/>
      <c r="V24" s="176">
        <v>46249</v>
      </c>
      <c r="W24" s="1149" t="s">
        <v>769</v>
      </c>
      <c r="X24" s="323" t="s">
        <v>716</v>
      </c>
    </row>
    <row r="25" s="3" customFormat="1" ht="27.75" hidden="1" customHeight="1" spans="1:24">
      <c r="A25" s="49">
        <f t="shared" si="0"/>
        <v>22</v>
      </c>
      <c r="B25" s="48" t="s">
        <v>394</v>
      </c>
      <c r="C25" s="49" t="s">
        <v>342</v>
      </c>
      <c r="D25" s="50" t="s">
        <v>765</v>
      </c>
      <c r="E25" s="51" t="s">
        <v>766</v>
      </c>
      <c r="F25" s="52">
        <v>46105</v>
      </c>
      <c r="G25" s="52">
        <v>46238</v>
      </c>
      <c r="H25" s="52">
        <v>46238</v>
      </c>
      <c r="I25" s="53">
        <v>46185</v>
      </c>
      <c r="J25" s="49">
        <v>240</v>
      </c>
      <c r="K25" s="49">
        <v>3</v>
      </c>
      <c r="L25" s="48" t="s">
        <v>82</v>
      </c>
      <c r="M25" s="49" t="s">
        <v>81</v>
      </c>
      <c r="N25" s="49" t="s">
        <v>767</v>
      </c>
      <c r="O25" s="48" t="s">
        <v>712</v>
      </c>
      <c r="P25" s="48" t="s">
        <v>582</v>
      </c>
      <c r="Q25" s="48" t="s">
        <v>603</v>
      </c>
      <c r="R25" s="710" t="s">
        <v>714</v>
      </c>
      <c r="S25" s="212">
        <v>46238</v>
      </c>
      <c r="T25" s="176">
        <v>46239</v>
      </c>
      <c r="U25" s="1152"/>
      <c r="V25" s="176">
        <v>46249</v>
      </c>
      <c r="W25" s="1149" t="s">
        <v>770</v>
      </c>
      <c r="X25" s="323" t="s">
        <v>716</v>
      </c>
    </row>
    <row r="26" s="3" customFormat="1" ht="27.75" hidden="1" customHeight="1" spans="1:24">
      <c r="A26" s="49">
        <f t="shared" si="0"/>
        <v>23</v>
      </c>
      <c r="B26" s="48" t="s">
        <v>394</v>
      </c>
      <c r="C26" s="49" t="s">
        <v>342</v>
      </c>
      <c r="D26" s="50" t="s">
        <v>765</v>
      </c>
      <c r="E26" s="51" t="s">
        <v>766</v>
      </c>
      <c r="F26" s="52">
        <v>46129</v>
      </c>
      <c r="G26" s="52">
        <v>46239</v>
      </c>
      <c r="H26" s="52">
        <v>46239</v>
      </c>
      <c r="I26" s="53">
        <v>46185</v>
      </c>
      <c r="J26" s="49">
        <v>126</v>
      </c>
      <c r="K26" s="49">
        <v>3</v>
      </c>
      <c r="L26" s="48" t="s">
        <v>82</v>
      </c>
      <c r="M26" s="49" t="s">
        <v>81</v>
      </c>
      <c r="N26" s="49" t="s">
        <v>767</v>
      </c>
      <c r="O26" s="48" t="s">
        <v>712</v>
      </c>
      <c r="P26" s="48" t="s">
        <v>582</v>
      </c>
      <c r="Q26" s="48" t="s">
        <v>603</v>
      </c>
      <c r="R26" s="710" t="s">
        <v>714</v>
      </c>
      <c r="S26" s="212">
        <v>46239</v>
      </c>
      <c r="T26" s="176">
        <v>46247</v>
      </c>
      <c r="U26" s="1152"/>
      <c r="V26" s="176">
        <v>46249</v>
      </c>
      <c r="W26" s="1149" t="s">
        <v>771</v>
      </c>
      <c r="X26" s="323" t="s">
        <v>716</v>
      </c>
    </row>
    <row r="27" s="3" customFormat="1" ht="27.75" hidden="1" customHeight="1" spans="1:24">
      <c r="A27" s="49">
        <f t="shared" si="0"/>
        <v>24</v>
      </c>
      <c r="B27" s="48" t="s">
        <v>394</v>
      </c>
      <c r="C27" s="49" t="s">
        <v>342</v>
      </c>
      <c r="D27" s="50" t="s">
        <v>765</v>
      </c>
      <c r="E27" s="51" t="s">
        <v>766</v>
      </c>
      <c r="F27" s="52">
        <v>46129</v>
      </c>
      <c r="G27" s="52">
        <v>46239</v>
      </c>
      <c r="H27" s="52">
        <v>46239</v>
      </c>
      <c r="I27" s="53">
        <v>46185</v>
      </c>
      <c r="J27" s="49">
        <v>165</v>
      </c>
      <c r="K27" s="49">
        <v>3</v>
      </c>
      <c r="L27" s="48" t="s">
        <v>82</v>
      </c>
      <c r="M27" s="49" t="s">
        <v>81</v>
      </c>
      <c r="N27" s="49" t="s">
        <v>767</v>
      </c>
      <c r="O27" s="48" t="s">
        <v>712</v>
      </c>
      <c r="P27" s="48" t="s">
        <v>582</v>
      </c>
      <c r="Q27" s="48" t="s">
        <v>603</v>
      </c>
      <c r="R27" s="710" t="s">
        <v>714</v>
      </c>
      <c r="S27" s="212">
        <v>46239</v>
      </c>
      <c r="T27" s="176">
        <v>46247</v>
      </c>
      <c r="U27" s="1152"/>
      <c r="V27" s="176">
        <v>46249</v>
      </c>
      <c r="W27" s="1149" t="s">
        <v>772</v>
      </c>
      <c r="X27" s="323" t="s">
        <v>716</v>
      </c>
    </row>
    <row r="28" s="3" customFormat="1" ht="27.75" hidden="1" customHeight="1" spans="1:24">
      <c r="A28" s="49">
        <f t="shared" si="0"/>
        <v>25</v>
      </c>
      <c r="B28" s="48" t="s">
        <v>394</v>
      </c>
      <c r="C28" s="49" t="s">
        <v>342</v>
      </c>
      <c r="D28" s="50" t="s">
        <v>765</v>
      </c>
      <c r="E28" s="51" t="s">
        <v>766</v>
      </c>
      <c r="F28" s="52">
        <v>46129</v>
      </c>
      <c r="G28" s="52">
        <v>46239</v>
      </c>
      <c r="H28" s="52">
        <v>46239</v>
      </c>
      <c r="I28" s="53">
        <v>46185</v>
      </c>
      <c r="J28" s="49">
        <v>222</v>
      </c>
      <c r="K28" s="49">
        <v>3</v>
      </c>
      <c r="L28" s="48" t="s">
        <v>82</v>
      </c>
      <c r="M28" s="49" t="s">
        <v>81</v>
      </c>
      <c r="N28" s="49" t="s">
        <v>767</v>
      </c>
      <c r="O28" s="48" t="s">
        <v>712</v>
      </c>
      <c r="P28" s="48" t="s">
        <v>582</v>
      </c>
      <c r="Q28" s="48" t="s">
        <v>603</v>
      </c>
      <c r="R28" s="710" t="s">
        <v>714</v>
      </c>
      <c r="S28" s="212">
        <v>46239</v>
      </c>
      <c r="T28" s="176">
        <v>46247</v>
      </c>
      <c r="U28" s="1152"/>
      <c r="V28" s="176">
        <v>46249</v>
      </c>
      <c r="W28" s="1149" t="s">
        <v>773</v>
      </c>
      <c r="X28" s="323" t="s">
        <v>716</v>
      </c>
    </row>
    <row r="29" s="3" customFormat="1" ht="27.75" hidden="1" customHeight="1" spans="1:24">
      <c r="A29" s="49">
        <f t="shared" si="0"/>
        <v>26</v>
      </c>
      <c r="B29" s="48" t="s">
        <v>394</v>
      </c>
      <c r="C29" s="49" t="s">
        <v>342</v>
      </c>
      <c r="D29" s="50" t="s">
        <v>765</v>
      </c>
      <c r="E29" s="51" t="s">
        <v>766</v>
      </c>
      <c r="F29" s="52">
        <v>46129</v>
      </c>
      <c r="G29" s="52">
        <v>46239</v>
      </c>
      <c r="H29" s="52">
        <v>46239</v>
      </c>
      <c r="I29" s="53">
        <v>46185</v>
      </c>
      <c r="J29" s="49">
        <v>213</v>
      </c>
      <c r="K29" s="49">
        <v>3</v>
      </c>
      <c r="L29" s="48" t="s">
        <v>82</v>
      </c>
      <c r="M29" s="49" t="s">
        <v>81</v>
      </c>
      <c r="N29" s="49" t="s">
        <v>767</v>
      </c>
      <c r="O29" s="48" t="s">
        <v>712</v>
      </c>
      <c r="P29" s="48" t="s">
        <v>582</v>
      </c>
      <c r="Q29" s="48" t="s">
        <v>603</v>
      </c>
      <c r="R29" s="710" t="s">
        <v>714</v>
      </c>
      <c r="S29" s="212">
        <v>46239</v>
      </c>
      <c r="T29" s="176">
        <v>46247</v>
      </c>
      <c r="U29" s="1152"/>
      <c r="V29" s="176">
        <v>46249</v>
      </c>
      <c r="W29" s="1149" t="s">
        <v>774</v>
      </c>
      <c r="X29" s="323" t="s">
        <v>716</v>
      </c>
    </row>
    <row r="30" s="3" customFormat="1" ht="27.75" hidden="1" customHeight="1" spans="1:24">
      <c r="A30" s="96">
        <f t="shared" si="0"/>
        <v>27</v>
      </c>
      <c r="B30" s="183" t="s">
        <v>775</v>
      </c>
      <c r="C30" s="96" t="s">
        <v>726</v>
      </c>
      <c r="D30" s="216" t="s">
        <v>776</v>
      </c>
      <c r="E30" s="293"/>
      <c r="F30" s="217">
        <v>46197</v>
      </c>
      <c r="G30" s="217">
        <v>46212</v>
      </c>
      <c r="H30" s="217">
        <v>46212</v>
      </c>
      <c r="I30" s="218">
        <v>46203</v>
      </c>
      <c r="J30" s="96">
        <v>37</v>
      </c>
      <c r="K30" s="96">
        <v>2</v>
      </c>
      <c r="L30" s="911" t="s">
        <v>82</v>
      </c>
      <c r="M30" s="915" t="s">
        <v>81</v>
      </c>
      <c r="N30" s="915"/>
      <c r="O30" s="183"/>
      <c r="P30" s="183"/>
      <c r="Q30" s="183"/>
      <c r="R30" s="755" t="s">
        <v>777</v>
      </c>
      <c r="S30" s="221">
        <v>46212</v>
      </c>
      <c r="T30" s="97"/>
      <c r="U30" s="1153"/>
      <c r="V30" s="97" t="s">
        <v>778</v>
      </c>
      <c r="W30" s="1154"/>
      <c r="X30" s="323" t="s">
        <v>733</v>
      </c>
    </row>
    <row r="31" s="3" customFormat="1" ht="27.75" customHeight="1" spans="1:24">
      <c r="A31" s="96">
        <f t="shared" si="0"/>
        <v>28</v>
      </c>
      <c r="B31" s="183" t="s">
        <v>779</v>
      </c>
      <c r="C31" s="96"/>
      <c r="D31" s="216"/>
      <c r="E31" s="293"/>
      <c r="F31" s="217"/>
      <c r="G31" s="217"/>
      <c r="H31" s="217"/>
      <c r="I31" s="218"/>
      <c r="J31" s="96">
        <f>18</f>
        <v>18</v>
      </c>
      <c r="K31" s="96"/>
      <c r="L31" s="911"/>
      <c r="M31" s="915"/>
      <c r="N31" s="915"/>
      <c r="O31" s="183"/>
      <c r="P31" s="183"/>
      <c r="Q31" s="183"/>
      <c r="R31" s="755"/>
      <c r="S31" s="221"/>
      <c r="T31" s="97"/>
      <c r="U31" s="1153"/>
      <c r="V31" s="97"/>
      <c r="W31" s="1154"/>
      <c r="X31" s="323"/>
    </row>
    <row r="32" s="3" customFormat="1" ht="27.75" customHeight="1" spans="1:24">
      <c r="A32" s="96">
        <f t="shared" si="0"/>
        <v>29</v>
      </c>
      <c r="B32" s="183" t="s">
        <v>240</v>
      </c>
      <c r="C32" s="96"/>
      <c r="D32" s="832" t="s">
        <v>780</v>
      </c>
      <c r="E32" s="293"/>
      <c r="F32" s="217"/>
      <c r="G32" s="217"/>
      <c r="H32" s="217"/>
      <c r="I32" s="218"/>
      <c r="J32" s="96">
        <v>22</v>
      </c>
      <c r="K32" s="96"/>
      <c r="L32" s="911"/>
      <c r="M32" s="915"/>
      <c r="N32" s="915"/>
      <c r="O32" s="183"/>
      <c r="P32" s="183"/>
      <c r="Q32" s="183"/>
      <c r="R32" s="755"/>
      <c r="S32" s="221"/>
      <c r="T32" s="97"/>
      <c r="U32" s="1153"/>
      <c r="V32" s="97"/>
      <c r="W32" s="1154"/>
      <c r="X32" s="323"/>
    </row>
    <row r="33" s="3" customFormat="1" ht="39" customHeight="1" spans="1:24">
      <c r="A33" s="96">
        <f t="shared" si="0"/>
        <v>30</v>
      </c>
      <c r="B33" s="183" t="s">
        <v>725</v>
      </c>
      <c r="C33" s="96" t="s">
        <v>726</v>
      </c>
      <c r="D33" s="216" t="s">
        <v>781</v>
      </c>
      <c r="E33" s="293" t="s">
        <v>782</v>
      </c>
      <c r="F33" s="217">
        <v>46224</v>
      </c>
      <c r="G33" s="1155">
        <v>46289</v>
      </c>
      <c r="H33" s="1155">
        <v>46289</v>
      </c>
      <c r="I33" s="218">
        <v>46237</v>
      </c>
      <c r="J33" s="96">
        <v>2412</v>
      </c>
      <c r="K33" s="96">
        <v>2</v>
      </c>
      <c r="L33" s="911" t="s">
        <v>783</v>
      </c>
      <c r="M33" s="915" t="s">
        <v>104</v>
      </c>
      <c r="N33" s="915" t="s">
        <v>784</v>
      </c>
      <c r="O33" s="183" t="s">
        <v>712</v>
      </c>
      <c r="P33" s="183" t="s">
        <v>785</v>
      </c>
      <c r="Q33" s="183" t="s">
        <v>786</v>
      </c>
      <c r="R33" s="755" t="s">
        <v>731</v>
      </c>
      <c r="S33" s="1156">
        <v>46289</v>
      </c>
      <c r="T33" s="1157">
        <v>46289</v>
      </c>
      <c r="U33" s="1157" t="s">
        <v>787</v>
      </c>
      <c r="V33" s="97"/>
      <c r="W33" s="1154" t="s">
        <v>788</v>
      </c>
      <c r="X33" s="323" t="s">
        <v>733</v>
      </c>
    </row>
    <row r="34" s="3" customFormat="1" ht="39" customHeight="1" spans="1:24">
      <c r="A34" s="96">
        <f t="shared" si="0"/>
        <v>31</v>
      </c>
      <c r="B34" s="183" t="s">
        <v>725</v>
      </c>
      <c r="C34" s="96" t="s">
        <v>726</v>
      </c>
      <c r="D34" s="216" t="s">
        <v>789</v>
      </c>
      <c r="E34" s="293" t="s">
        <v>790</v>
      </c>
      <c r="F34" s="217">
        <v>46224</v>
      </c>
      <c r="G34" s="217">
        <v>46304</v>
      </c>
      <c r="H34" s="217">
        <v>46304</v>
      </c>
      <c r="I34" s="218">
        <v>46237</v>
      </c>
      <c r="J34" s="96">
        <v>1018</v>
      </c>
      <c r="K34" s="96">
        <v>2</v>
      </c>
      <c r="L34" s="911" t="s">
        <v>783</v>
      </c>
      <c r="M34" s="915" t="s">
        <v>104</v>
      </c>
      <c r="N34" s="915" t="s">
        <v>784</v>
      </c>
      <c r="O34" s="183" t="s">
        <v>712</v>
      </c>
      <c r="P34" s="183" t="s">
        <v>785</v>
      </c>
      <c r="Q34" s="183" t="s">
        <v>786</v>
      </c>
      <c r="R34" s="755" t="s">
        <v>731</v>
      </c>
      <c r="S34" s="221">
        <v>46304</v>
      </c>
      <c r="T34" s="97"/>
      <c r="U34" s="1153"/>
      <c r="V34" s="97"/>
      <c r="W34" s="1154" t="s">
        <v>791</v>
      </c>
      <c r="X34" s="323" t="s">
        <v>733</v>
      </c>
    </row>
    <row r="35" s="3" customFormat="1" ht="39" customHeight="1" spans="1:24">
      <c r="A35" s="96">
        <f t="shared" si="0"/>
        <v>32</v>
      </c>
      <c r="B35" s="487" t="s">
        <v>725</v>
      </c>
      <c r="C35" s="146" t="s">
        <v>726</v>
      </c>
      <c r="D35" s="488" t="s">
        <v>792</v>
      </c>
      <c r="E35" s="293" t="s">
        <v>793</v>
      </c>
      <c r="F35" s="489">
        <v>46255</v>
      </c>
      <c r="G35" s="489">
        <v>46335</v>
      </c>
      <c r="H35" s="489">
        <v>46335</v>
      </c>
      <c r="I35" s="490">
        <v>46260</v>
      </c>
      <c r="J35" s="146">
        <v>2412</v>
      </c>
      <c r="K35" s="146">
        <v>2</v>
      </c>
      <c r="L35" s="911" t="s">
        <v>794</v>
      </c>
      <c r="M35" s="915" t="s">
        <v>104</v>
      </c>
      <c r="N35" s="915" t="s">
        <v>784</v>
      </c>
      <c r="O35" s="183" t="s">
        <v>712</v>
      </c>
      <c r="P35" s="183"/>
      <c r="Q35" s="183"/>
      <c r="R35" s="755" t="s">
        <v>731</v>
      </c>
      <c r="S35" s="221">
        <v>46335</v>
      </c>
      <c r="T35" s="97"/>
      <c r="U35" s="1153"/>
      <c r="V35" s="97"/>
      <c r="W35" s="1154" t="s">
        <v>795</v>
      </c>
      <c r="X35" s="323" t="s">
        <v>733</v>
      </c>
    </row>
    <row r="36" s="3" customFormat="1" ht="39" customHeight="1" spans="1:24">
      <c r="A36" s="96">
        <f t="shared" si="0"/>
        <v>33</v>
      </c>
      <c r="B36" s="487" t="s">
        <v>725</v>
      </c>
      <c r="C36" s="146" t="s">
        <v>726</v>
      </c>
      <c r="D36" s="488" t="s">
        <v>796</v>
      </c>
      <c r="E36" s="293" t="s">
        <v>797</v>
      </c>
      <c r="F36" s="489">
        <v>46259</v>
      </c>
      <c r="G36" s="489">
        <v>46335</v>
      </c>
      <c r="H36" s="489">
        <v>46335</v>
      </c>
      <c r="I36" s="490">
        <v>46346</v>
      </c>
      <c r="J36" s="146">
        <v>510</v>
      </c>
      <c r="K36" s="146">
        <v>2</v>
      </c>
      <c r="L36" s="911" t="s">
        <v>794</v>
      </c>
      <c r="M36" s="915" t="s">
        <v>104</v>
      </c>
      <c r="N36" s="915" t="s">
        <v>784</v>
      </c>
      <c r="O36" s="183" t="s">
        <v>712</v>
      </c>
      <c r="P36" s="183"/>
      <c r="Q36" s="183"/>
      <c r="R36" s="755" t="s">
        <v>731</v>
      </c>
      <c r="S36" s="221">
        <v>46346</v>
      </c>
      <c r="T36" s="97"/>
      <c r="U36" s="1153"/>
      <c r="V36" s="97"/>
      <c r="W36" s="1154" t="s">
        <v>798</v>
      </c>
      <c r="X36" s="323" t="s">
        <v>733</v>
      </c>
    </row>
    <row r="37" s="3" customFormat="1" ht="27.95" customHeight="1" spans="1:24">
      <c r="A37" s="96">
        <f t="shared" si="0"/>
        <v>34</v>
      </c>
      <c r="B37" s="96"/>
      <c r="C37" s="96"/>
      <c r="D37" s="96"/>
      <c r="E37" s="96"/>
      <c r="F37" s="218"/>
      <c r="G37" s="218"/>
      <c r="H37" s="218"/>
      <c r="I37" s="218"/>
      <c r="J37" s="96"/>
      <c r="K37" s="96"/>
      <c r="L37" s="915"/>
      <c r="M37" s="915"/>
      <c r="N37" s="915"/>
      <c r="O37" s="96"/>
      <c r="P37" s="183"/>
      <c r="Q37" s="183"/>
      <c r="R37" s="755"/>
      <c r="S37" s="221"/>
      <c r="T37" s="97"/>
      <c r="U37" s="493"/>
      <c r="V37" s="97"/>
      <c r="W37" s="1154"/>
      <c r="X37" s="323"/>
    </row>
    <row r="38" s="3" customFormat="1" ht="17.25" customHeight="1" spans="1:24">
      <c r="A38" s="94" t="s">
        <v>66</v>
      </c>
      <c r="B38" s="94"/>
      <c r="C38" s="94"/>
      <c r="D38" s="94"/>
      <c r="E38" s="94"/>
      <c r="F38" s="94"/>
      <c r="G38" s="94"/>
      <c r="H38" s="94"/>
      <c r="I38" s="94"/>
      <c r="J38" s="96">
        <f>SUM(J4:J37)</f>
        <v>15250</v>
      </c>
      <c r="K38" s="96"/>
      <c r="L38" s="96"/>
      <c r="M38" s="96"/>
      <c r="N38" s="96"/>
      <c r="O38" s="96"/>
      <c r="P38" s="96"/>
      <c r="Q38" s="96"/>
      <c r="R38" s="96"/>
      <c r="S38" s="97"/>
      <c r="T38" s="97"/>
      <c r="U38" s="493"/>
      <c r="V38" s="97"/>
      <c r="W38" s="96"/>
      <c r="X38" s="323"/>
    </row>
    <row r="39" s="4" customFormat="1" ht="18" customHeight="1" spans="1:24">
      <c r="A39" s="1158"/>
      <c r="B39" s="1159"/>
      <c r="C39" s="1159"/>
      <c r="D39" s="1159"/>
      <c r="E39" s="1159"/>
      <c r="F39" s="1159"/>
      <c r="G39" s="1159"/>
      <c r="H39" s="1159"/>
      <c r="I39" s="1160"/>
      <c r="J39" s="1161">
        <f>2898+3000+3000+3408+22+2922</f>
        <v>15250</v>
      </c>
      <c r="K39" s="368"/>
      <c r="L39" s="100"/>
      <c r="M39" s="100"/>
      <c r="N39" s="100"/>
      <c r="O39" s="100" t="s">
        <v>799</v>
      </c>
      <c r="P39" s="100"/>
      <c r="Q39" s="100"/>
      <c r="R39" s="100"/>
      <c r="S39" s="100"/>
      <c r="T39" s="100"/>
      <c r="U39" s="1012"/>
      <c r="V39" s="100"/>
      <c r="W39" s="100"/>
      <c r="X39" s="1162"/>
    </row>
    <row r="40" s="4" customFormat="1" ht="17.25" customHeight="1" spans="1:24">
      <c r="A40" s="1163" t="s">
        <v>67</v>
      </c>
      <c r="B40" s="1163"/>
      <c r="C40" s="1163"/>
      <c r="D40" s="1163"/>
      <c r="E40" s="1163"/>
      <c r="F40" s="1163"/>
      <c r="G40" s="1163"/>
      <c r="H40" s="1163"/>
      <c r="I40" s="1163"/>
      <c r="J40" s="1164">
        <f>J39-J38</f>
        <v>0</v>
      </c>
      <c r="K40" s="368"/>
      <c r="L40" s="100"/>
      <c r="M40" s="100"/>
      <c r="N40" s="100"/>
      <c r="O40" s="100" t="s">
        <v>799</v>
      </c>
      <c r="P40" s="100"/>
      <c r="Q40" s="100"/>
      <c r="R40" s="96"/>
      <c r="S40" s="100"/>
      <c r="T40" s="100"/>
      <c r="U40" s="1012"/>
      <c r="V40" s="100"/>
      <c r="W40" s="100"/>
      <c r="X40" s="1162"/>
    </row>
    <row r="41" spans="1:24">
      <c r="B41" s="110" t="s">
        <v>68</v>
      </c>
      <c r="C41" s="110"/>
      <c r="D41" s="111"/>
      <c r="E41" s="111"/>
      <c r="F41" s="111"/>
      <c r="G41" s="111"/>
      <c r="H41" s="1165" t="s">
        <v>800</v>
      </c>
      <c r="I41" s="1165"/>
      <c r="J41">
        <v>42</v>
      </c>
    </row>
    <row r="43" spans="1:24">
      <c r="H43" t="s">
        <v>801</v>
      </c>
      <c r="I43" s="328" t="s">
        <v>802</v>
      </c>
      <c r="J43">
        <f>3159-400-2717</f>
        <v>42</v>
      </c>
    </row>
    <row r="44" spans="1:24">
      <c r="H44" t="s">
        <v>801</v>
      </c>
      <c r="I44" t="s">
        <v>71</v>
      </c>
      <c r="J44">
        <f>3159-400-2717</f>
        <v>42</v>
      </c>
    </row>
  </sheetData>
  <autoFilter xmlns:etc="http://www.wps.cn/officeDocument/2017/etCustomData" ref="A3:X41" etc:filterBottomFollowUsedRange="0">
    <filterColumn colId="21">
      <filters blank="1"/>
    </filterColumn>
    <extLst/>
  </autoFilter>
  <mergeCells count="28">
    <mergeCell ref="A1:S1"/>
    <mergeCell ref="T1:V1"/>
    <mergeCell ref="L2:N2"/>
    <mergeCell ref="A38:I38"/>
    <mergeCell ref="A39:I39"/>
    <mergeCell ref="A40:I40"/>
    <mergeCell ref="H41:I4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</mergeCells>
  <printOptions horizontalCentered="1"/>
  <pageMargins left="0.196527777777778" right="0.196527777777778" top="0.393055555555556" bottom="0.196527777777778" header="0.511805555555556" footer="0.511805555555556"/>
  <pageSetup paperSize="9" scale="70" firstPageNumber="4294967295" orientation="landscape" useFirstPageNumber="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99FF"/>
    <pageSetUpPr fitToPage="1"/>
  </sheetPr>
  <dimension ref="A1:AC34"/>
  <sheetViews>
    <sheetView view="pageBreakPreview" zoomScaleNormal="100" workbookViewId="0">
      <pane xSplit="11" ySplit="3" topLeftCell="L4" activePane="bottomRight" state="frozen"/>
      <selection/>
      <selection pane="topRight"/>
      <selection pane="bottomLeft"/>
      <selection pane="bottomRight" activeCell="X34" sqref="X34"/>
    </sheetView>
  </sheetViews>
  <sheetFormatPr defaultColWidth="9" defaultRowHeight="14.25"/>
  <cols>
    <col min="1" max="1" width="3.875" customWidth="1"/>
    <col min="2" max="2" width="8.875" customWidth="1"/>
    <col min="3" max="3" width="6.375" customWidth="1"/>
    <col min="4" max="4" width="12.125" customWidth="1"/>
    <col min="5" max="5" width="8.875" customWidth="1"/>
    <col min="6" max="9" width="6.5" customWidth="1"/>
    <col min="10" max="10" width="6.25" customWidth="1"/>
    <col min="11" max="11" width="5.125" customWidth="1"/>
    <col min="12" max="15" width="6.625" customWidth="1"/>
    <col min="16" max="16" width="5.125" style="288" customWidth="1"/>
    <col min="17" max="17" width="4.5" style="288" customWidth="1"/>
    <col min="18" max="18" width="8.25" customWidth="1"/>
    <col min="19" max="20" width="5.375" customWidth="1"/>
    <col min="21" max="21" width="6.625" customWidth="1"/>
    <col min="22" max="22" width="6.875" customWidth="1"/>
    <col min="23" max="23" width="23" customWidth="1"/>
    <col min="24" max="24" width="8" customWidth="1"/>
    <col min="25" max="25" width="8.375" style="193" customWidth="1"/>
    <col min="26" max="27" width="7.625" style="193" customWidth="1"/>
    <col min="28" max="28" width="19" customWidth="1"/>
    <col min="29" max="29" width="17.625" customWidth="1"/>
  </cols>
  <sheetData>
    <row r="1" ht="35.1" customHeight="1" spans="1:29">
      <c r="A1" s="1091" t="s">
        <v>803</v>
      </c>
      <c r="B1" s="1091"/>
      <c r="C1" s="1091"/>
      <c r="D1" s="1091"/>
      <c r="E1" s="1091"/>
      <c r="F1" s="1091"/>
      <c r="G1" s="1091"/>
      <c r="H1" s="1091"/>
      <c r="I1" s="1091"/>
      <c r="J1" s="1091"/>
      <c r="K1" s="1091"/>
      <c r="L1" s="1091"/>
      <c r="M1" s="1091"/>
      <c r="N1" s="1091"/>
      <c r="O1" s="1091"/>
      <c r="P1" s="1092"/>
      <c r="Q1" s="1092"/>
      <c r="R1" s="1092"/>
      <c r="S1" s="1092"/>
      <c r="T1" s="1092"/>
      <c r="U1" s="1092"/>
      <c r="V1" s="1092"/>
      <c r="W1" s="1092"/>
      <c r="X1" s="1093" t="s">
        <v>1</v>
      </c>
      <c r="Y1" s="1093"/>
      <c r="Z1" s="1093"/>
      <c r="AA1" s="1094">
        <f ca="1">TODAY()</f>
        <v>46277</v>
      </c>
      <c r="AB1" s="1094"/>
      <c r="AC1" s="1095"/>
    </row>
    <row r="2" s="446" customFormat="1" ht="21.95" customHeight="1" spans="1:29">
      <c r="A2" s="1096" t="s">
        <v>2</v>
      </c>
      <c r="B2" s="457" t="s">
        <v>3</v>
      </c>
      <c r="C2" s="457" t="s">
        <v>4</v>
      </c>
      <c r="D2" s="457" t="s">
        <v>5</v>
      </c>
      <c r="E2" s="1097" t="s">
        <v>6</v>
      </c>
      <c r="F2" s="458" t="s">
        <v>7</v>
      </c>
      <c r="G2" s="458" t="s">
        <v>8</v>
      </c>
      <c r="H2" s="458" t="s">
        <v>9</v>
      </c>
      <c r="I2" s="457" t="s">
        <v>10</v>
      </c>
      <c r="J2" s="458" t="s">
        <v>11</v>
      </c>
      <c r="K2" s="458" t="s">
        <v>12</v>
      </c>
      <c r="L2" s="1098" t="s">
        <v>13</v>
      </c>
      <c r="M2" s="1098"/>
      <c r="N2" s="1098"/>
      <c r="O2" s="1098"/>
      <c r="P2" s="1099" t="s">
        <v>180</v>
      </c>
      <c r="Q2" s="1100"/>
      <c r="R2" s="1100"/>
      <c r="S2" s="462" t="s">
        <v>177</v>
      </c>
      <c r="T2" s="1101" t="s">
        <v>178</v>
      </c>
      <c r="U2" s="464" t="s">
        <v>71</v>
      </c>
      <c r="V2" s="464" t="s">
        <v>19</v>
      </c>
      <c r="W2" s="1102" t="s">
        <v>21</v>
      </c>
      <c r="X2" s="461" t="s">
        <v>22</v>
      </c>
      <c r="Y2" s="466" t="s">
        <v>23</v>
      </c>
      <c r="Z2" s="466" t="s">
        <v>24</v>
      </c>
      <c r="AA2" s="466" t="s">
        <v>25</v>
      </c>
      <c r="AB2" s="1103" t="s">
        <v>26</v>
      </c>
    </row>
    <row r="3" s="446" customFormat="1" ht="28.5" customHeight="1" spans="1:29">
      <c r="A3" s="1104"/>
      <c r="B3" s="1105"/>
      <c r="C3" s="1105"/>
      <c r="D3" s="1105"/>
      <c r="E3" s="1106"/>
      <c r="F3" s="1107"/>
      <c r="G3" s="1107"/>
      <c r="H3" s="1107"/>
      <c r="I3" s="1105"/>
      <c r="J3" s="1107"/>
      <c r="K3" s="1107"/>
      <c r="L3" s="1108" t="s">
        <v>804</v>
      </c>
      <c r="M3" s="1108" t="s">
        <v>805</v>
      </c>
      <c r="N3" s="1108" t="s">
        <v>806</v>
      </c>
      <c r="O3" s="1108" t="s">
        <v>807</v>
      </c>
      <c r="P3" s="1109" t="s">
        <v>186</v>
      </c>
      <c r="Q3" s="1110" t="s">
        <v>187</v>
      </c>
      <c r="R3" s="1110" t="s">
        <v>73</v>
      </c>
      <c r="S3" s="1111"/>
      <c r="T3" s="1112"/>
      <c r="U3" s="1113"/>
      <c r="V3" s="1113"/>
      <c r="W3" s="1114"/>
      <c r="X3" s="1110"/>
      <c r="Y3" s="1115"/>
      <c r="Z3" s="1115"/>
      <c r="AA3" s="1115"/>
      <c r="AB3" s="1116"/>
    </row>
    <row r="4" s="3" customFormat="1" ht="45" hidden="1" customHeight="1" spans="1:29">
      <c r="A4" s="316">
        <f t="shared" ref="A4:A21" si="0">ROW()-3</f>
        <v>1</v>
      </c>
      <c r="B4" s="624" t="s">
        <v>341</v>
      </c>
      <c r="C4" s="316" t="s">
        <v>342</v>
      </c>
      <c r="D4" s="844" t="s">
        <v>343</v>
      </c>
      <c r="E4" s="844"/>
      <c r="F4" s="845">
        <v>45961</v>
      </c>
      <c r="G4" s="845">
        <v>46024</v>
      </c>
      <c r="H4" s="845">
        <v>46024</v>
      </c>
      <c r="I4" s="846">
        <v>45968</v>
      </c>
      <c r="J4" s="703">
        <f>N4</f>
        <v>2328</v>
      </c>
      <c r="K4" s="703">
        <v>8</v>
      </c>
      <c r="L4" s="703"/>
      <c r="M4" s="703"/>
      <c r="N4" s="703">
        <f>336+112+120+352+96+760+264+88+200</f>
        <v>2328</v>
      </c>
      <c r="O4" s="703"/>
      <c r="P4" s="1117" t="s">
        <v>808</v>
      </c>
      <c r="Q4" s="316" t="s">
        <v>81</v>
      </c>
      <c r="R4" s="316" t="s">
        <v>809</v>
      </c>
      <c r="S4" s="316" t="s">
        <v>81</v>
      </c>
      <c r="T4" s="1118" t="s">
        <v>810</v>
      </c>
      <c r="U4" s="850" t="s">
        <v>811</v>
      </c>
      <c r="V4" s="624" t="s">
        <v>812</v>
      </c>
      <c r="W4" s="1119" t="s">
        <v>813</v>
      </c>
      <c r="X4" s="851">
        <v>46021</v>
      </c>
      <c r="Y4" s="852">
        <v>46030</v>
      </c>
      <c r="Z4" s="851"/>
      <c r="AA4" s="851">
        <v>46041</v>
      </c>
      <c r="AB4" s="624" t="s">
        <v>814</v>
      </c>
      <c r="AC4" s="3" t="s">
        <v>815</v>
      </c>
    </row>
    <row r="5" s="3" customFormat="1" ht="45" hidden="1" customHeight="1" spans="1:29">
      <c r="A5" s="49">
        <f t="shared" si="0"/>
        <v>2</v>
      </c>
      <c r="B5" s="48" t="s">
        <v>341</v>
      </c>
      <c r="C5" s="49" t="s">
        <v>342</v>
      </c>
      <c r="D5" s="50" t="s">
        <v>346</v>
      </c>
      <c r="E5" s="50"/>
      <c r="F5" s="52">
        <v>45966</v>
      </c>
      <c r="G5" s="52">
        <v>46024</v>
      </c>
      <c r="H5" s="52">
        <v>46024</v>
      </c>
      <c r="I5" s="53">
        <v>45968</v>
      </c>
      <c r="J5" s="175">
        <f>M5</f>
        <v>480</v>
      </c>
      <c r="K5" s="175">
        <v>8</v>
      </c>
      <c r="L5" s="175"/>
      <c r="M5" s="175">
        <f>240+136+104</f>
        <v>480</v>
      </c>
      <c r="N5" s="175"/>
      <c r="O5" s="175"/>
      <c r="P5" s="1120" t="s">
        <v>808</v>
      </c>
      <c r="Q5" s="49" t="s">
        <v>81</v>
      </c>
      <c r="R5" s="49" t="s">
        <v>809</v>
      </c>
      <c r="S5" s="49" t="s">
        <v>81</v>
      </c>
      <c r="T5" s="700" t="s">
        <v>810</v>
      </c>
      <c r="U5" s="305" t="s">
        <v>811</v>
      </c>
      <c r="V5" s="48" t="s">
        <v>816</v>
      </c>
      <c r="W5" s="876" t="s">
        <v>813</v>
      </c>
      <c r="X5" s="176">
        <v>46021</v>
      </c>
      <c r="Y5" s="211">
        <v>46029</v>
      </c>
      <c r="Z5" s="176"/>
      <c r="AA5" s="176">
        <v>46041</v>
      </c>
      <c r="AB5" s="48" t="s">
        <v>817</v>
      </c>
      <c r="AC5" s="159" t="s">
        <v>818</v>
      </c>
    </row>
    <row r="6" s="3" customFormat="1" ht="45" hidden="1" customHeight="1" spans="1:29">
      <c r="A6" s="49">
        <f t="shared" si="0"/>
        <v>3</v>
      </c>
      <c r="B6" s="48" t="s">
        <v>341</v>
      </c>
      <c r="C6" s="49" t="s">
        <v>342</v>
      </c>
      <c r="D6" s="50" t="s">
        <v>819</v>
      </c>
      <c r="E6" s="50"/>
      <c r="F6" s="52">
        <v>45939</v>
      </c>
      <c r="G6" s="52">
        <v>46027</v>
      </c>
      <c r="H6" s="52">
        <v>46027</v>
      </c>
      <c r="I6" s="53">
        <v>45975</v>
      </c>
      <c r="J6" s="175">
        <f>L6+M6</f>
        <v>768</v>
      </c>
      <c r="K6" s="175">
        <v>8</v>
      </c>
      <c r="L6" s="175">
        <f>176+96</f>
        <v>272</v>
      </c>
      <c r="M6" s="175">
        <f>128+184+184</f>
        <v>496</v>
      </c>
      <c r="N6" s="175"/>
      <c r="O6" s="175"/>
      <c r="P6" s="1120" t="s">
        <v>808</v>
      </c>
      <c r="Q6" s="49" t="s">
        <v>81</v>
      </c>
      <c r="R6" s="49" t="s">
        <v>809</v>
      </c>
      <c r="S6" s="49" t="s">
        <v>81</v>
      </c>
      <c r="T6" s="700" t="s">
        <v>810</v>
      </c>
      <c r="U6" s="305" t="s">
        <v>811</v>
      </c>
      <c r="V6" s="48" t="s">
        <v>816</v>
      </c>
      <c r="W6" s="876" t="s">
        <v>813</v>
      </c>
      <c r="X6" s="176">
        <v>46025</v>
      </c>
      <c r="Y6" s="211">
        <v>46029</v>
      </c>
      <c r="Z6" s="176"/>
      <c r="AA6" s="176">
        <v>46041</v>
      </c>
      <c r="AB6" s="48" t="s">
        <v>820</v>
      </c>
      <c r="AC6" s="159" t="s">
        <v>821</v>
      </c>
    </row>
    <row r="7" s="3" customFormat="1" ht="25.5" hidden="1" customHeight="1" spans="1:29">
      <c r="A7" s="49">
        <f t="shared" si="0"/>
        <v>4</v>
      </c>
      <c r="B7" s="48" t="s">
        <v>341</v>
      </c>
      <c r="C7" s="49" t="s">
        <v>342</v>
      </c>
      <c r="D7" s="50" t="s">
        <v>348</v>
      </c>
      <c r="E7" s="50" t="s">
        <v>349</v>
      </c>
      <c r="F7" s="52">
        <v>45939</v>
      </c>
      <c r="G7" s="52">
        <v>46080</v>
      </c>
      <c r="H7" s="52">
        <v>46080</v>
      </c>
      <c r="I7" s="53">
        <v>46021</v>
      </c>
      <c r="J7" s="175">
        <f>M7</f>
        <v>136</v>
      </c>
      <c r="K7" s="175">
        <v>8</v>
      </c>
      <c r="L7" s="175"/>
      <c r="M7" s="175">
        <v>136</v>
      </c>
      <c r="N7" s="175"/>
      <c r="O7" s="175"/>
      <c r="P7" s="1121" t="s">
        <v>808</v>
      </c>
      <c r="Q7" s="969" t="s">
        <v>81</v>
      </c>
      <c r="R7" s="969" t="s">
        <v>809</v>
      </c>
      <c r="S7" s="49" t="s">
        <v>81</v>
      </c>
      <c r="T7" s="700" t="s">
        <v>810</v>
      </c>
      <c r="U7" s="305" t="s">
        <v>811</v>
      </c>
      <c r="V7" s="211" t="s">
        <v>720</v>
      </c>
      <c r="W7" s="876" t="s">
        <v>813</v>
      </c>
      <c r="X7" s="176">
        <v>46078</v>
      </c>
      <c r="Y7" s="211">
        <v>46086</v>
      </c>
      <c r="Z7" s="176"/>
      <c r="AA7" s="176">
        <v>46090</v>
      </c>
      <c r="AB7" s="48" t="s">
        <v>822</v>
      </c>
      <c r="AC7" s="3" t="s">
        <v>818</v>
      </c>
    </row>
    <row r="8" s="3" customFormat="1" ht="30" hidden="1" customHeight="1" spans="1:29">
      <c r="A8" s="49">
        <f t="shared" si="0"/>
        <v>5</v>
      </c>
      <c r="B8" s="48" t="s">
        <v>341</v>
      </c>
      <c r="C8" s="49" t="s">
        <v>342</v>
      </c>
      <c r="D8" s="50" t="s">
        <v>717</v>
      </c>
      <c r="E8" s="50" t="s">
        <v>718</v>
      </c>
      <c r="F8" s="52">
        <v>45989</v>
      </c>
      <c r="G8" s="52">
        <v>46083</v>
      </c>
      <c r="H8" s="52">
        <v>46083</v>
      </c>
      <c r="I8" s="53">
        <v>46024</v>
      </c>
      <c r="J8" s="175">
        <v>240</v>
      </c>
      <c r="K8" s="175">
        <v>8</v>
      </c>
      <c r="L8" s="175"/>
      <c r="M8" s="175">
        <v>240</v>
      </c>
      <c r="N8" s="175"/>
      <c r="O8" s="175"/>
      <c r="P8" s="1121" t="s">
        <v>808</v>
      </c>
      <c r="Q8" s="969" t="s">
        <v>81</v>
      </c>
      <c r="R8" s="969" t="s">
        <v>809</v>
      </c>
      <c r="S8" s="49" t="s">
        <v>81</v>
      </c>
      <c r="T8" s="700" t="s">
        <v>810</v>
      </c>
      <c r="U8" s="211" t="s">
        <v>720</v>
      </c>
      <c r="V8" s="211" t="s">
        <v>720</v>
      </c>
      <c r="W8" s="876" t="s">
        <v>813</v>
      </c>
      <c r="X8" s="176">
        <v>46080</v>
      </c>
      <c r="Y8" s="211">
        <v>46086</v>
      </c>
      <c r="Z8" s="176"/>
      <c r="AA8" s="176">
        <v>46090</v>
      </c>
      <c r="AB8" s="48" t="s">
        <v>823</v>
      </c>
      <c r="AC8" s="3" t="s">
        <v>818</v>
      </c>
    </row>
    <row r="9" s="3" customFormat="1" ht="30" hidden="1" customHeight="1" spans="1:29">
      <c r="A9" s="49">
        <f t="shared" si="0"/>
        <v>6</v>
      </c>
      <c r="B9" s="48" t="s">
        <v>341</v>
      </c>
      <c r="C9" s="49" t="s">
        <v>342</v>
      </c>
      <c r="D9" s="50" t="s">
        <v>717</v>
      </c>
      <c r="E9" s="50" t="s">
        <v>718</v>
      </c>
      <c r="F9" s="52">
        <v>46021</v>
      </c>
      <c r="G9" s="52">
        <v>46094</v>
      </c>
      <c r="H9" s="52">
        <v>46094</v>
      </c>
      <c r="I9" s="53">
        <v>46024</v>
      </c>
      <c r="J9" s="175">
        <v>88</v>
      </c>
      <c r="K9" s="175">
        <v>8</v>
      </c>
      <c r="L9" s="175">
        <v>88</v>
      </c>
      <c r="M9" s="175"/>
      <c r="N9" s="175"/>
      <c r="O9" s="175"/>
      <c r="P9" s="1121" t="s">
        <v>808</v>
      </c>
      <c r="Q9" s="969" t="s">
        <v>81</v>
      </c>
      <c r="R9" s="969" t="s">
        <v>824</v>
      </c>
      <c r="S9" s="49" t="s">
        <v>81</v>
      </c>
      <c r="T9" s="700" t="s">
        <v>810</v>
      </c>
      <c r="U9" s="211" t="s">
        <v>720</v>
      </c>
      <c r="V9" s="211" t="s">
        <v>720</v>
      </c>
      <c r="W9" s="876" t="s">
        <v>813</v>
      </c>
      <c r="X9" s="176">
        <v>46092</v>
      </c>
      <c r="Y9" s="211">
        <v>46086</v>
      </c>
      <c r="Z9" s="176"/>
      <c r="AA9" s="176">
        <v>46111</v>
      </c>
      <c r="AB9" s="48" t="s">
        <v>825</v>
      </c>
      <c r="AC9" s="3" t="s">
        <v>826</v>
      </c>
    </row>
    <row r="10" s="3" customFormat="1" ht="36" hidden="1" customHeight="1" spans="1:29">
      <c r="A10" s="857">
        <f t="shared" si="0"/>
        <v>7</v>
      </c>
      <c r="B10" s="856" t="s">
        <v>827</v>
      </c>
      <c r="C10" s="857" t="s">
        <v>342</v>
      </c>
      <c r="D10" s="1122" t="s">
        <v>828</v>
      </c>
      <c r="E10" s="1122" t="s">
        <v>829</v>
      </c>
      <c r="F10" s="859">
        <v>46044</v>
      </c>
      <c r="G10" s="859">
        <v>46114</v>
      </c>
      <c r="H10" s="859">
        <v>46114</v>
      </c>
      <c r="I10" s="860">
        <v>46045</v>
      </c>
      <c r="J10" s="862">
        <v>104</v>
      </c>
      <c r="K10" s="862">
        <v>8</v>
      </c>
      <c r="L10" s="862">
        <v>104</v>
      </c>
      <c r="M10" s="862"/>
      <c r="N10" s="862"/>
      <c r="O10" s="862"/>
      <c r="P10" s="1123" t="s">
        <v>808</v>
      </c>
      <c r="Q10" s="1124" t="s">
        <v>81</v>
      </c>
      <c r="R10" s="1124" t="s">
        <v>824</v>
      </c>
      <c r="S10" s="857" t="s">
        <v>81</v>
      </c>
      <c r="T10" s="1125" t="s">
        <v>810</v>
      </c>
      <c r="U10" s="864" t="s">
        <v>82</v>
      </c>
      <c r="V10" s="864" t="s">
        <v>830</v>
      </c>
      <c r="W10" s="1126" t="s">
        <v>813</v>
      </c>
      <c r="X10" s="863">
        <v>46112</v>
      </c>
      <c r="Y10" s="864">
        <v>46099</v>
      </c>
      <c r="Z10" s="863"/>
      <c r="AA10" s="863">
        <v>46121</v>
      </c>
      <c r="AB10" s="856" t="s">
        <v>831</v>
      </c>
      <c r="AC10" s="3" t="s">
        <v>826</v>
      </c>
    </row>
    <row r="11" s="3" customFormat="1" ht="36" hidden="1" customHeight="1" spans="1:29">
      <c r="A11" s="866">
        <f t="shared" si="0"/>
        <v>8</v>
      </c>
      <c r="B11" s="867" t="s">
        <v>394</v>
      </c>
      <c r="C11" s="868" t="s">
        <v>342</v>
      </c>
      <c r="D11" s="1127" t="s">
        <v>497</v>
      </c>
      <c r="E11" s="1128" t="s">
        <v>498</v>
      </c>
      <c r="F11" s="870">
        <v>46105</v>
      </c>
      <c r="G11" s="870">
        <v>46177</v>
      </c>
      <c r="H11" s="870">
        <v>46177</v>
      </c>
      <c r="I11" s="871">
        <v>46127</v>
      </c>
      <c r="J11" s="873">
        <f t="shared" ref="J11:J17" si="1">SUBTOTAL(9,L11:O11)</f>
        <v>0</v>
      </c>
      <c r="K11" s="873">
        <v>8</v>
      </c>
      <c r="L11" s="873">
        <v>144</v>
      </c>
      <c r="M11" s="873">
        <v>136</v>
      </c>
      <c r="N11" s="873"/>
      <c r="O11" s="873"/>
      <c r="P11" s="1129" t="s">
        <v>82</v>
      </c>
      <c r="Q11" s="868" t="s">
        <v>81</v>
      </c>
      <c r="R11" s="868" t="s">
        <v>499</v>
      </c>
      <c r="S11" s="868" t="s">
        <v>81</v>
      </c>
      <c r="T11" s="1130" t="s">
        <v>84</v>
      </c>
      <c r="U11" s="879" t="s">
        <v>501</v>
      </c>
      <c r="V11" s="879" t="s">
        <v>501</v>
      </c>
      <c r="W11" s="1131" t="s">
        <v>813</v>
      </c>
      <c r="X11" s="1132">
        <v>46177</v>
      </c>
      <c r="Y11" s="879">
        <v>46175</v>
      </c>
      <c r="Z11" s="1132"/>
      <c r="AA11" s="1132">
        <v>46207</v>
      </c>
      <c r="AB11" s="1133" t="s">
        <v>832</v>
      </c>
      <c r="AC11" s="159" t="s">
        <v>833</v>
      </c>
    </row>
    <row r="12" s="3" customFormat="1" ht="36" hidden="1" customHeight="1" spans="1:29">
      <c r="A12" s="208">
        <f t="shared" si="0"/>
        <v>9</v>
      </c>
      <c r="B12" s="48" t="s">
        <v>394</v>
      </c>
      <c r="C12" s="49" t="s">
        <v>342</v>
      </c>
      <c r="D12" s="50" t="s">
        <v>524</v>
      </c>
      <c r="E12" s="50" t="s">
        <v>525</v>
      </c>
      <c r="F12" s="52">
        <v>46105</v>
      </c>
      <c r="G12" s="52">
        <v>46203</v>
      </c>
      <c r="H12" s="52">
        <v>46203</v>
      </c>
      <c r="I12" s="53">
        <v>46156</v>
      </c>
      <c r="J12" s="175">
        <f t="shared" si="1"/>
        <v>0</v>
      </c>
      <c r="K12" s="175">
        <v>8</v>
      </c>
      <c r="L12" s="175">
        <v>128</v>
      </c>
      <c r="M12" s="175">
        <v>160</v>
      </c>
      <c r="N12" s="175"/>
      <c r="O12" s="175"/>
      <c r="P12" s="1120" t="s">
        <v>82</v>
      </c>
      <c r="Q12" s="49" t="s">
        <v>81</v>
      </c>
      <c r="R12" s="49" t="s">
        <v>834</v>
      </c>
      <c r="S12" s="49" t="s">
        <v>81</v>
      </c>
      <c r="T12" s="700" t="s">
        <v>84</v>
      </c>
      <c r="U12" s="211" t="s">
        <v>501</v>
      </c>
      <c r="V12" s="211" t="s">
        <v>526</v>
      </c>
      <c r="W12" s="876" t="s">
        <v>813</v>
      </c>
      <c r="X12" s="176">
        <v>46203</v>
      </c>
      <c r="Y12" s="211">
        <v>46204</v>
      </c>
      <c r="Z12" s="176"/>
      <c r="AA12" s="176">
        <v>46214</v>
      </c>
      <c r="AB12" s="177" t="s">
        <v>835</v>
      </c>
      <c r="AC12" s="159" t="s">
        <v>833</v>
      </c>
    </row>
    <row r="13" s="3" customFormat="1" ht="36" hidden="1" customHeight="1" spans="1:29">
      <c r="A13" s="208">
        <f t="shared" si="0"/>
        <v>10</v>
      </c>
      <c r="B13" s="48" t="s">
        <v>394</v>
      </c>
      <c r="C13" s="49" t="s">
        <v>342</v>
      </c>
      <c r="D13" s="50" t="s">
        <v>524</v>
      </c>
      <c r="E13" s="50" t="s">
        <v>525</v>
      </c>
      <c r="F13" s="52">
        <v>46105</v>
      </c>
      <c r="G13" s="52">
        <v>46203</v>
      </c>
      <c r="H13" s="52">
        <v>46203</v>
      </c>
      <c r="I13" s="53">
        <v>46156</v>
      </c>
      <c r="J13" s="175">
        <f t="shared" si="1"/>
        <v>0</v>
      </c>
      <c r="K13" s="175">
        <v>8</v>
      </c>
      <c r="L13" s="175">
        <v>152</v>
      </c>
      <c r="M13" s="175"/>
      <c r="N13" s="175"/>
      <c r="O13" s="175"/>
      <c r="P13" s="1120" t="s">
        <v>82</v>
      </c>
      <c r="Q13" s="49" t="s">
        <v>81</v>
      </c>
      <c r="R13" s="49" t="s">
        <v>834</v>
      </c>
      <c r="S13" s="49" t="s">
        <v>81</v>
      </c>
      <c r="T13" s="700" t="s">
        <v>84</v>
      </c>
      <c r="U13" s="211" t="s">
        <v>501</v>
      </c>
      <c r="V13" s="211" t="s">
        <v>526</v>
      </c>
      <c r="W13" s="876" t="s">
        <v>813</v>
      </c>
      <c r="X13" s="176">
        <v>46203</v>
      </c>
      <c r="Y13" s="211">
        <v>46204</v>
      </c>
      <c r="Z13" s="176"/>
      <c r="AA13" s="176">
        <v>46214</v>
      </c>
      <c r="AB13" s="177" t="s">
        <v>836</v>
      </c>
      <c r="AC13" s="159" t="s">
        <v>833</v>
      </c>
    </row>
    <row r="14" s="3" customFormat="1" ht="36" hidden="1" customHeight="1" spans="1:29">
      <c r="A14" s="208">
        <f t="shared" si="0"/>
        <v>11</v>
      </c>
      <c r="B14" s="48" t="s">
        <v>394</v>
      </c>
      <c r="C14" s="49" t="s">
        <v>342</v>
      </c>
      <c r="D14" s="50" t="s">
        <v>524</v>
      </c>
      <c r="E14" s="50" t="s">
        <v>525</v>
      </c>
      <c r="F14" s="52">
        <v>46105</v>
      </c>
      <c r="G14" s="52">
        <v>46203</v>
      </c>
      <c r="H14" s="52">
        <v>46203</v>
      </c>
      <c r="I14" s="53">
        <v>46156</v>
      </c>
      <c r="J14" s="175">
        <f t="shared" si="1"/>
        <v>0</v>
      </c>
      <c r="K14" s="175">
        <v>8</v>
      </c>
      <c r="L14" s="175"/>
      <c r="M14" s="175">
        <v>160</v>
      </c>
      <c r="N14" s="175"/>
      <c r="O14" s="175"/>
      <c r="P14" s="1120" t="s">
        <v>82</v>
      </c>
      <c r="Q14" s="49" t="s">
        <v>81</v>
      </c>
      <c r="R14" s="49" t="s">
        <v>834</v>
      </c>
      <c r="S14" s="49" t="s">
        <v>81</v>
      </c>
      <c r="T14" s="700" t="s">
        <v>84</v>
      </c>
      <c r="U14" s="211" t="s">
        <v>501</v>
      </c>
      <c r="V14" s="211" t="s">
        <v>526</v>
      </c>
      <c r="W14" s="876" t="s">
        <v>813</v>
      </c>
      <c r="X14" s="176">
        <v>46203</v>
      </c>
      <c r="Y14" s="211">
        <v>46204</v>
      </c>
      <c r="Z14" s="176"/>
      <c r="AA14" s="176">
        <v>46214</v>
      </c>
      <c r="AB14" s="177" t="s">
        <v>837</v>
      </c>
      <c r="AC14" s="159" t="s">
        <v>833</v>
      </c>
    </row>
    <row r="15" s="3" customFormat="1" ht="36" hidden="1" customHeight="1" spans="1:29">
      <c r="A15" s="208">
        <f t="shared" si="0"/>
        <v>12</v>
      </c>
      <c r="B15" s="48" t="s">
        <v>394</v>
      </c>
      <c r="C15" s="49" t="s">
        <v>342</v>
      </c>
      <c r="D15" s="50" t="s">
        <v>524</v>
      </c>
      <c r="E15" s="50" t="s">
        <v>525</v>
      </c>
      <c r="F15" s="52">
        <v>46105</v>
      </c>
      <c r="G15" s="52">
        <v>46203</v>
      </c>
      <c r="H15" s="52">
        <v>46203</v>
      </c>
      <c r="I15" s="53">
        <v>46156</v>
      </c>
      <c r="J15" s="175">
        <f t="shared" si="1"/>
        <v>0</v>
      </c>
      <c r="K15" s="175">
        <v>8</v>
      </c>
      <c r="L15" s="175">
        <v>184</v>
      </c>
      <c r="M15" s="175"/>
      <c r="N15" s="175"/>
      <c r="O15" s="175"/>
      <c r="P15" s="1120" t="s">
        <v>82</v>
      </c>
      <c r="Q15" s="49" t="s">
        <v>81</v>
      </c>
      <c r="R15" s="49" t="s">
        <v>834</v>
      </c>
      <c r="S15" s="49" t="s">
        <v>81</v>
      </c>
      <c r="T15" s="700" t="s">
        <v>84</v>
      </c>
      <c r="U15" s="211" t="s">
        <v>501</v>
      </c>
      <c r="V15" s="211" t="s">
        <v>526</v>
      </c>
      <c r="W15" s="876" t="s">
        <v>813</v>
      </c>
      <c r="X15" s="176">
        <v>46203</v>
      </c>
      <c r="Y15" s="211">
        <v>46204</v>
      </c>
      <c r="Z15" s="176"/>
      <c r="AA15" s="176">
        <v>46214</v>
      </c>
      <c r="AB15" s="177" t="s">
        <v>838</v>
      </c>
      <c r="AC15" s="159" t="s">
        <v>833</v>
      </c>
    </row>
    <row r="16" s="3" customFormat="1" ht="36" hidden="1" customHeight="1" spans="1:29">
      <c r="A16" s="208">
        <f t="shared" si="0"/>
        <v>13</v>
      </c>
      <c r="B16" s="48" t="s">
        <v>394</v>
      </c>
      <c r="C16" s="49" t="s">
        <v>342</v>
      </c>
      <c r="D16" s="50" t="s">
        <v>524</v>
      </c>
      <c r="E16" s="50" t="s">
        <v>525</v>
      </c>
      <c r="F16" s="52">
        <v>46105</v>
      </c>
      <c r="G16" s="52">
        <v>46203</v>
      </c>
      <c r="H16" s="52">
        <v>46203</v>
      </c>
      <c r="I16" s="53">
        <v>46156</v>
      </c>
      <c r="J16" s="175">
        <f t="shared" si="1"/>
        <v>0</v>
      </c>
      <c r="K16" s="175">
        <v>8</v>
      </c>
      <c r="L16" s="175"/>
      <c r="M16" s="175">
        <v>112</v>
      </c>
      <c r="N16" s="175"/>
      <c r="O16" s="175"/>
      <c r="P16" s="1120" t="s">
        <v>82</v>
      </c>
      <c r="Q16" s="49" t="s">
        <v>81</v>
      </c>
      <c r="R16" s="49" t="s">
        <v>834</v>
      </c>
      <c r="S16" s="49" t="s">
        <v>81</v>
      </c>
      <c r="T16" s="700" t="s">
        <v>84</v>
      </c>
      <c r="U16" s="211" t="s">
        <v>501</v>
      </c>
      <c r="V16" s="211" t="s">
        <v>526</v>
      </c>
      <c r="W16" s="876" t="s">
        <v>813</v>
      </c>
      <c r="X16" s="176">
        <v>46203</v>
      </c>
      <c r="Y16" s="211">
        <v>46204</v>
      </c>
      <c r="Z16" s="176"/>
      <c r="AA16" s="176">
        <v>46214</v>
      </c>
      <c r="AB16" s="177" t="s">
        <v>839</v>
      </c>
      <c r="AC16" s="159" t="s">
        <v>833</v>
      </c>
    </row>
    <row r="17" s="3" customFormat="1" ht="36" hidden="1" customHeight="1" spans="1:29">
      <c r="A17" s="208">
        <f t="shared" si="0"/>
        <v>14</v>
      </c>
      <c r="B17" s="48" t="s">
        <v>394</v>
      </c>
      <c r="C17" s="49" t="s">
        <v>342</v>
      </c>
      <c r="D17" s="50" t="s">
        <v>589</v>
      </c>
      <c r="E17" s="50" t="s">
        <v>590</v>
      </c>
      <c r="F17" s="52">
        <v>46105</v>
      </c>
      <c r="G17" s="52">
        <v>46238</v>
      </c>
      <c r="H17" s="52">
        <v>46238</v>
      </c>
      <c r="I17" s="53">
        <v>46185</v>
      </c>
      <c r="J17" s="175">
        <f t="shared" si="1"/>
        <v>0</v>
      </c>
      <c r="K17" s="175">
        <v>8</v>
      </c>
      <c r="L17" s="175">
        <v>328</v>
      </c>
      <c r="M17" s="175">
        <v>296</v>
      </c>
      <c r="N17" s="175"/>
      <c r="O17" s="175"/>
      <c r="P17" s="1120" t="s">
        <v>82</v>
      </c>
      <c r="Q17" s="49" t="s">
        <v>81</v>
      </c>
      <c r="R17" s="49" t="s">
        <v>767</v>
      </c>
      <c r="S17" s="49" t="s">
        <v>81</v>
      </c>
      <c r="T17" s="700" t="s">
        <v>84</v>
      </c>
      <c r="U17" s="211" t="s">
        <v>582</v>
      </c>
      <c r="V17" s="211" t="s">
        <v>591</v>
      </c>
      <c r="W17" s="876" t="s">
        <v>813</v>
      </c>
      <c r="X17" s="176">
        <v>46238</v>
      </c>
      <c r="Y17" s="211">
        <v>46240</v>
      </c>
      <c r="Z17" s="176"/>
      <c r="AA17" s="176">
        <v>46249</v>
      </c>
      <c r="AB17" s="177" t="s">
        <v>840</v>
      </c>
      <c r="AC17" s="159" t="s">
        <v>833</v>
      </c>
    </row>
    <row r="18" s="3" customFormat="1" ht="36" hidden="1" customHeight="1" spans="1:29">
      <c r="A18" s="208">
        <f t="shared" si="0"/>
        <v>15</v>
      </c>
      <c r="B18" s="48" t="s">
        <v>394</v>
      </c>
      <c r="C18" s="49" t="s">
        <v>342</v>
      </c>
      <c r="D18" s="50" t="s">
        <v>589</v>
      </c>
      <c r="E18" s="50" t="s">
        <v>590</v>
      </c>
      <c r="F18" s="52">
        <v>46162</v>
      </c>
      <c r="G18" s="52">
        <v>46240</v>
      </c>
      <c r="H18" s="52">
        <v>46240</v>
      </c>
      <c r="I18" s="53">
        <v>46185</v>
      </c>
      <c r="J18" s="175">
        <f>SUM(L18:O18)</f>
        <v>472</v>
      </c>
      <c r="K18" s="175">
        <v>8</v>
      </c>
      <c r="L18" s="175"/>
      <c r="M18" s="175">
        <v>472</v>
      </c>
      <c r="N18" s="175"/>
      <c r="O18" s="175"/>
      <c r="P18" s="1120" t="s">
        <v>82</v>
      </c>
      <c r="Q18" s="49" t="s">
        <v>81</v>
      </c>
      <c r="R18" s="49" t="s">
        <v>767</v>
      </c>
      <c r="S18" s="49" t="s">
        <v>81</v>
      </c>
      <c r="T18" s="700" t="s">
        <v>84</v>
      </c>
      <c r="U18" s="211" t="s">
        <v>582</v>
      </c>
      <c r="V18" s="211" t="s">
        <v>591</v>
      </c>
      <c r="W18" s="876" t="s">
        <v>813</v>
      </c>
      <c r="X18" s="176">
        <v>46240</v>
      </c>
      <c r="Y18" s="211">
        <v>46245</v>
      </c>
      <c r="Z18" s="176"/>
      <c r="AA18" s="176">
        <v>46249</v>
      </c>
      <c r="AB18" s="177" t="s">
        <v>841</v>
      </c>
      <c r="AC18" s="159" t="s">
        <v>818</v>
      </c>
    </row>
    <row r="19" s="3" customFormat="1" ht="36" customHeight="1" spans="1:29">
      <c r="A19" s="215">
        <f t="shared" si="0"/>
        <v>16</v>
      </c>
      <c r="B19" s="183" t="s">
        <v>394</v>
      </c>
      <c r="C19" s="183" t="s">
        <v>342</v>
      </c>
      <c r="D19" s="216" t="s">
        <v>842</v>
      </c>
      <c r="E19" s="216" t="s">
        <v>843</v>
      </c>
      <c r="F19" s="82">
        <v>46205</v>
      </c>
      <c r="G19" s="82">
        <v>46282</v>
      </c>
      <c r="H19" s="82">
        <v>46282</v>
      </c>
      <c r="I19" s="218">
        <v>46220</v>
      </c>
      <c r="J19" s="95">
        <f>SUM(L19:O19)</f>
        <v>168</v>
      </c>
      <c r="K19" s="95">
        <v>8</v>
      </c>
      <c r="L19" s="95"/>
      <c r="M19" s="95">
        <v>168</v>
      </c>
      <c r="N19" s="95"/>
      <c r="O19" s="95"/>
      <c r="P19" s="1134" t="s">
        <v>82</v>
      </c>
      <c r="Q19" s="219" t="s">
        <v>81</v>
      </c>
      <c r="R19" s="219" t="s">
        <v>767</v>
      </c>
      <c r="S19" s="96" t="s">
        <v>81</v>
      </c>
      <c r="T19" s="746" t="s">
        <v>84</v>
      </c>
      <c r="U19" s="279" t="s">
        <v>844</v>
      </c>
      <c r="V19" s="279" t="s">
        <v>629</v>
      </c>
      <c r="W19" s="1135" t="s">
        <v>813</v>
      </c>
      <c r="X19" s="97">
        <v>46282</v>
      </c>
      <c r="Y19" s="279">
        <v>46287</v>
      </c>
      <c r="Z19" s="97"/>
      <c r="AA19" s="97"/>
      <c r="AB19" s="178" t="s">
        <v>845</v>
      </c>
      <c r="AC19" s="159" t="s">
        <v>818</v>
      </c>
    </row>
    <row r="20" s="3" customFormat="1" ht="36" customHeight="1" spans="1:29">
      <c r="A20" s="215">
        <f t="shared" si="0"/>
        <v>17</v>
      </c>
      <c r="B20" s="183" t="s">
        <v>394</v>
      </c>
      <c r="C20" s="183" t="s">
        <v>342</v>
      </c>
      <c r="D20" s="216" t="s">
        <v>842</v>
      </c>
      <c r="E20" s="216" t="s">
        <v>843</v>
      </c>
      <c r="F20" s="82">
        <v>46205</v>
      </c>
      <c r="G20" s="82">
        <v>46282</v>
      </c>
      <c r="H20" s="82">
        <v>46282</v>
      </c>
      <c r="I20" s="218">
        <v>46220</v>
      </c>
      <c r="J20" s="95">
        <f>SUM(L20:O20)</f>
        <v>232</v>
      </c>
      <c r="K20" s="95">
        <v>8</v>
      </c>
      <c r="L20" s="95"/>
      <c r="M20" s="95">
        <v>232</v>
      </c>
      <c r="N20" s="95"/>
      <c r="O20" s="95"/>
      <c r="P20" s="1134" t="s">
        <v>82</v>
      </c>
      <c r="Q20" s="219" t="s">
        <v>81</v>
      </c>
      <c r="R20" s="219" t="s">
        <v>767</v>
      </c>
      <c r="S20" s="96" t="s">
        <v>81</v>
      </c>
      <c r="T20" s="746" t="s">
        <v>84</v>
      </c>
      <c r="U20" s="279" t="s">
        <v>844</v>
      </c>
      <c r="V20" s="279" t="s">
        <v>629</v>
      </c>
      <c r="W20" s="1135" t="s">
        <v>813</v>
      </c>
      <c r="X20" s="97">
        <v>46282</v>
      </c>
      <c r="Y20" s="279">
        <v>46287</v>
      </c>
      <c r="Z20" s="97"/>
      <c r="AA20" s="97"/>
      <c r="AB20" s="178" t="s">
        <v>846</v>
      </c>
      <c r="AC20" s="159" t="s">
        <v>818</v>
      </c>
    </row>
    <row r="21" s="3" customFormat="1" ht="36" customHeight="1" spans="1:29">
      <c r="A21" s="215">
        <f t="shared" si="0"/>
        <v>18</v>
      </c>
      <c r="B21" s="183" t="s">
        <v>394</v>
      </c>
      <c r="C21" s="183" t="s">
        <v>342</v>
      </c>
      <c r="D21" s="216" t="s">
        <v>842</v>
      </c>
      <c r="E21" s="216" t="s">
        <v>843</v>
      </c>
      <c r="F21" s="82">
        <v>46205</v>
      </c>
      <c r="G21" s="82">
        <v>46282</v>
      </c>
      <c r="H21" s="82">
        <v>46282</v>
      </c>
      <c r="I21" s="218">
        <v>46220</v>
      </c>
      <c r="J21" s="95">
        <f>SUM(L21:O21)</f>
        <v>120</v>
      </c>
      <c r="K21" s="95">
        <v>8</v>
      </c>
      <c r="L21" s="95"/>
      <c r="M21" s="95">
        <v>120</v>
      </c>
      <c r="N21" s="95"/>
      <c r="O21" s="95"/>
      <c r="P21" s="1134" t="s">
        <v>82</v>
      </c>
      <c r="Q21" s="219" t="s">
        <v>81</v>
      </c>
      <c r="R21" s="219" t="s">
        <v>767</v>
      </c>
      <c r="S21" s="96" t="s">
        <v>81</v>
      </c>
      <c r="T21" s="746" t="s">
        <v>84</v>
      </c>
      <c r="U21" s="279" t="s">
        <v>844</v>
      </c>
      <c r="V21" s="279" t="s">
        <v>629</v>
      </c>
      <c r="W21" s="1135" t="s">
        <v>813</v>
      </c>
      <c r="X21" s="97">
        <v>46282</v>
      </c>
      <c r="Y21" s="279">
        <v>46287</v>
      </c>
      <c r="Z21" s="97"/>
      <c r="AA21" s="97"/>
      <c r="AB21" s="178" t="s">
        <v>847</v>
      </c>
      <c r="AC21" s="159" t="s">
        <v>818</v>
      </c>
    </row>
    <row r="22" s="3" customFormat="1" ht="36" customHeight="1" spans="1:29">
      <c r="A22" s="215"/>
      <c r="B22" s="183"/>
      <c r="C22" s="183"/>
      <c r="D22" s="216"/>
      <c r="E22" s="293"/>
      <c r="F22" s="82"/>
      <c r="G22" s="82"/>
      <c r="H22" s="82"/>
      <c r="I22" s="218"/>
      <c r="J22" s="95"/>
      <c r="K22" s="95"/>
      <c r="L22" s="95"/>
      <c r="M22" s="95"/>
      <c r="N22" s="95"/>
      <c r="O22" s="95"/>
      <c r="P22" s="1134"/>
      <c r="Q22" s="219"/>
      <c r="R22" s="219"/>
      <c r="S22" s="96"/>
      <c r="T22" s="746"/>
      <c r="U22" s="279"/>
      <c r="V22" s="279"/>
      <c r="W22" s="1135"/>
      <c r="X22" s="97"/>
      <c r="Y22" s="279"/>
      <c r="Z22" s="97"/>
      <c r="AA22" s="97"/>
      <c r="AB22" s="178"/>
      <c r="AC22" s="159"/>
    </row>
    <row r="23" s="3" customFormat="1" ht="30" customHeight="1" spans="1:29">
      <c r="A23" s="215"/>
      <c r="B23" s="183"/>
      <c r="C23" s="96"/>
      <c r="D23" s="216"/>
      <c r="E23" s="216"/>
      <c r="F23" s="217"/>
      <c r="G23" s="217"/>
      <c r="H23" s="217"/>
      <c r="I23" s="218"/>
      <c r="J23" s="95"/>
      <c r="K23" s="95"/>
      <c r="L23" s="95"/>
      <c r="M23" s="95"/>
      <c r="N23" s="95"/>
      <c r="O23" s="95"/>
      <c r="P23" s="1136"/>
      <c r="Q23" s="962"/>
      <c r="R23" s="962"/>
      <c r="S23" s="96"/>
      <c r="T23" s="96"/>
      <c r="U23" s="279"/>
      <c r="V23" s="183"/>
      <c r="W23" s="1135"/>
      <c r="X23" s="97"/>
      <c r="Y23" s="222"/>
      <c r="Z23" s="97"/>
      <c r="AA23" s="97"/>
      <c r="AB23" s="178"/>
    </row>
    <row r="24" s="3" customFormat="1" ht="21.75" customHeight="1" spans="1:29">
      <c r="A24" s="93" t="s">
        <v>66</v>
      </c>
      <c r="B24" s="94"/>
      <c r="C24" s="94"/>
      <c r="D24" s="94"/>
      <c r="E24" s="94"/>
      <c r="F24" s="94"/>
      <c r="G24" s="94"/>
      <c r="H24" s="94"/>
      <c r="I24" s="94"/>
      <c r="J24" s="95">
        <f>SUM(J4:J23)</f>
        <v>5136</v>
      </c>
      <c r="K24" s="95"/>
      <c r="L24" s="95">
        <f>SUM(L4:L23)</f>
        <v>1400</v>
      </c>
      <c r="M24" s="95">
        <f>SUM(M4:M23)</f>
        <v>3208</v>
      </c>
      <c r="N24" s="95">
        <f>SUM(N4:N23)</f>
        <v>2328</v>
      </c>
      <c r="O24" s="95">
        <f>SUM(O4:O23)</f>
        <v>0</v>
      </c>
      <c r="P24" s="1055"/>
      <c r="Q24" s="183"/>
      <c r="R24" s="96"/>
      <c r="S24" s="96"/>
      <c r="T24" s="96"/>
      <c r="U24" s="96"/>
      <c r="V24" s="96"/>
      <c r="W24" s="1135"/>
      <c r="X24" s="97"/>
      <c r="Y24" s="97"/>
      <c r="Z24" s="97"/>
      <c r="AA24" s="97"/>
      <c r="AB24" s="98"/>
    </row>
    <row r="25" s="4" customFormat="1" ht="17.1" customHeight="1" spans="1:29">
      <c r="A25" s="99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>
        <f>2440</f>
        <v>2440</v>
      </c>
      <c r="M25" s="147">
        <f>3384</f>
        <v>3384</v>
      </c>
      <c r="N25" s="147">
        <f>3000</f>
        <v>3000</v>
      </c>
      <c r="O25" s="147"/>
      <c r="P25" s="1061"/>
      <c r="Q25" s="963"/>
      <c r="R25" s="100"/>
      <c r="S25" s="100"/>
      <c r="T25" s="100"/>
      <c r="U25" s="100"/>
      <c r="V25" s="100"/>
      <c r="W25" s="1137"/>
      <c r="X25" s="100"/>
      <c r="Y25" s="100"/>
      <c r="Z25" s="100"/>
      <c r="AA25" s="100"/>
      <c r="AB25" s="102"/>
    </row>
    <row r="26" s="4" customFormat="1" ht="17.1" customHeight="1" spans="1:29">
      <c r="A26" s="1138" t="s">
        <v>67</v>
      </c>
      <c r="B26" s="1139"/>
      <c r="C26" s="1139"/>
      <c r="D26" s="1139"/>
      <c r="E26" s="1139"/>
      <c r="F26" s="1139"/>
      <c r="G26" s="1139"/>
      <c r="H26" s="1139"/>
      <c r="I26" s="1139"/>
      <c r="J26" s="1139"/>
      <c r="K26" s="1139"/>
      <c r="L26" s="106">
        <f>L25-L24</f>
        <v>1040</v>
      </c>
      <c r="M26" s="106">
        <f>M25-M24</f>
        <v>176</v>
      </c>
      <c r="N26" s="106">
        <f>N25-N24</f>
        <v>672</v>
      </c>
      <c r="O26" s="106">
        <f>O25-O24</f>
        <v>0</v>
      </c>
      <c r="P26" s="1140"/>
      <c r="Q26" s="839"/>
      <c r="R26" s="107"/>
      <c r="S26" s="1141" t="s">
        <v>848</v>
      </c>
      <c r="T26" s="1142"/>
      <c r="U26" s="1142"/>
      <c r="V26" s="1143"/>
      <c r="W26" s="1144"/>
      <c r="X26" s="107"/>
      <c r="Y26" s="107"/>
      <c r="Z26" s="107"/>
      <c r="AA26" s="107"/>
      <c r="AB26" s="109"/>
    </row>
    <row r="27" spans="1:29">
      <c r="B27" s="110" t="s">
        <v>68</v>
      </c>
      <c r="C27" s="110"/>
      <c r="D27" s="111"/>
      <c r="E27" s="111"/>
      <c r="F27" s="111"/>
      <c r="G27" s="111"/>
      <c r="H27" s="111"/>
      <c r="I27" s="111"/>
    </row>
    <row r="28" spans="1:29">
      <c r="B28" s="110"/>
      <c r="C28" s="110"/>
      <c r="D28" s="111"/>
      <c r="E28" s="111"/>
      <c r="F28" s="111"/>
      <c r="G28" s="111"/>
      <c r="H28" s="111"/>
      <c r="I28" s="111"/>
    </row>
    <row r="29" spans="1:29">
      <c r="L29">
        <v>12136</v>
      </c>
      <c r="M29">
        <v>12137</v>
      </c>
    </row>
    <row r="30" spans="1:29">
      <c r="I30" s="192" t="s">
        <v>849</v>
      </c>
      <c r="J30" s="192"/>
      <c r="K30" s="192"/>
      <c r="L30" s="192"/>
      <c r="M30" s="192">
        <f>3000-112-2504</f>
        <v>384</v>
      </c>
      <c r="N30" s="192"/>
    </row>
    <row r="31" spans="1:29">
      <c r="I31" s="192" t="s">
        <v>850</v>
      </c>
      <c r="J31" s="192"/>
      <c r="K31" s="192"/>
      <c r="L31" s="192"/>
      <c r="M31" s="192"/>
      <c r="N31" s="192"/>
    </row>
    <row r="32" spans="1:29">
      <c r="I32" s="192" t="s">
        <v>851</v>
      </c>
      <c r="J32" s="192"/>
      <c r="K32" s="192"/>
      <c r="L32" s="192"/>
      <c r="M32" s="192">
        <f>3000-112-2504</f>
        <v>384</v>
      </c>
      <c r="N32" s="192"/>
    </row>
    <row r="33" spans="9:14">
      <c r="I33" s="192" t="s">
        <v>852</v>
      </c>
      <c r="J33" s="192"/>
      <c r="K33" s="192"/>
      <c r="L33" s="192"/>
      <c r="M33" s="192"/>
      <c r="N33" s="192"/>
    </row>
    <row r="34" spans="9:14">
      <c r="I34" s="192"/>
      <c r="J34" s="192"/>
      <c r="K34" s="192"/>
      <c r="L34" s="192"/>
      <c r="M34" s="192"/>
      <c r="N34" s="192"/>
    </row>
  </sheetData>
  <autoFilter xmlns:etc="http://www.wps.cn/officeDocument/2017/etCustomData" ref="A3:AC21" etc:filterBottomFollowUsedRange="0">
    <filterColumn colId="26">
      <filters blank="1"/>
    </filterColumn>
    <extLst/>
  </autoFilter>
  <mergeCells count="30">
    <mergeCell ref="A1:W1"/>
    <mergeCell ref="X1:Z1"/>
    <mergeCell ref="AA1:AB1"/>
    <mergeCell ref="L2:N2"/>
    <mergeCell ref="P2:R2"/>
    <mergeCell ref="A24:I24"/>
    <mergeCell ref="A25:I25"/>
    <mergeCell ref="A26:K26"/>
    <mergeCell ref="S26:V26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</mergeCells>
  <conditionalFormatting sqref="L26:O26">
    <cfRule type="cellIs" dxfId="0" priority="1" operator="lessThan">
      <formula>0</formula>
    </cfRule>
  </conditionalFormatting>
  <printOptions horizontalCentered="1"/>
  <pageMargins left="0.393055555555556" right="0.393055555555556" top="0.393055555555556" bottom="0" header="0.511805555555556" footer="0.511805555555556"/>
  <pageSetup paperSize="9" scale="59" firstPageNumber="4294967295" orientation="landscape" useFirstPageNumber="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AA43"/>
  <sheetViews>
    <sheetView zoomScaleSheetLayoutView="130" workbookViewId="0">
      <pane xSplit="4" ySplit="3" topLeftCell="E4" activePane="bottomRight" state="frozen"/>
      <selection/>
      <selection pane="topRight"/>
      <selection pane="bottomLeft"/>
      <selection pane="bottomRight" activeCell="B38" sqref="B38"/>
    </sheetView>
  </sheetViews>
  <sheetFormatPr defaultColWidth="9" defaultRowHeight="14.25"/>
  <cols>
    <col min="1" max="1" width="3.125" style="288" customWidth="1"/>
    <col min="2" max="2" width="9.125" style="288" customWidth="1"/>
    <col min="3" max="3" width="7.125" style="288" customWidth="1"/>
    <col min="4" max="5" width="13.375" style="288" customWidth="1"/>
    <col min="6" max="9" width="5.5" style="288" customWidth="1"/>
    <col min="10" max="10" width="7.125" style="288" customWidth="1"/>
    <col min="11" max="11" width="5.125" style="288" customWidth="1"/>
    <col min="12" max="13" width="7.625" style="288" customWidth="1"/>
    <col min="14" max="14" width="5" style="288" customWidth="1"/>
    <col min="15" max="15" width="5.625" style="288" customWidth="1"/>
    <col min="16" max="16" width="8.125" style="288" customWidth="1"/>
    <col min="17" max="17" width="5.375" style="288" customWidth="1"/>
    <col min="18" max="18" width="5.625" style="288" customWidth="1"/>
    <col min="19" max="19" width="4.875" style="288" customWidth="1"/>
    <col min="20" max="20" width="6" style="288" customWidth="1"/>
    <col min="21" max="21" width="21.375" style="288" customWidth="1"/>
    <col min="22" max="22" width="8.5" style="288" customWidth="1"/>
    <col min="23" max="23" width="9" style="6" customWidth="1"/>
    <col min="24" max="24" width="6.375" style="6" customWidth="1"/>
    <col min="25" max="25" width="8.875" style="6" customWidth="1"/>
    <col min="26" max="26" width="15.375" style="288" customWidth="1"/>
    <col min="27" max="27" width="17.875" style="288" customWidth="1"/>
    <col min="28" max="253" width="9" style="288" customWidth="1"/>
    <col min="254" max="16384" width="9" style="288"/>
  </cols>
  <sheetData>
    <row r="1" ht="35.1" customHeight="1" spans="1:27">
      <c r="A1" s="1070" t="s">
        <v>853</v>
      </c>
      <c r="B1" s="1071"/>
      <c r="C1" s="1071"/>
      <c r="D1" s="1071"/>
      <c r="E1" s="1071"/>
      <c r="F1" s="1071"/>
      <c r="G1" s="1071"/>
      <c r="H1" s="1071"/>
      <c r="I1" s="1071"/>
      <c r="J1" s="1071"/>
      <c r="K1" s="1071"/>
      <c r="L1" s="1071"/>
      <c r="M1" s="1071"/>
      <c r="N1" s="1071"/>
      <c r="O1" s="1071"/>
      <c r="P1" s="1071"/>
      <c r="Q1" s="1071"/>
      <c r="R1" s="1071"/>
      <c r="S1" s="1071"/>
      <c r="T1" s="1071"/>
      <c r="U1" s="1071"/>
      <c r="V1" s="1072"/>
      <c r="W1" s="1073" t="s">
        <v>1</v>
      </c>
      <c r="X1" s="1073"/>
      <c r="Y1" s="12">
        <f ca="1">TODAY()</f>
        <v>46277</v>
      </c>
      <c r="Z1" s="13"/>
    </row>
    <row r="2" s="190" customFormat="1" ht="21.95" customHeight="1" spans="1:27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" t="s">
        <v>13</v>
      </c>
      <c r="M2" s="18"/>
      <c r="N2" s="19" t="s">
        <v>180</v>
      </c>
      <c r="O2" s="19"/>
      <c r="P2" s="19"/>
      <c r="Q2" s="21" t="s">
        <v>177</v>
      </c>
      <c r="R2" s="21" t="s">
        <v>71</v>
      </c>
      <c r="S2" s="22" t="s">
        <v>178</v>
      </c>
      <c r="T2" s="21" t="s">
        <v>19</v>
      </c>
      <c r="U2" s="24" t="s">
        <v>21</v>
      </c>
      <c r="V2" s="19" t="s">
        <v>22</v>
      </c>
      <c r="W2" s="204" t="s">
        <v>23</v>
      </c>
      <c r="X2" s="204" t="s">
        <v>24</v>
      </c>
      <c r="Y2" s="204" t="s">
        <v>25</v>
      </c>
      <c r="Z2" s="27" t="s">
        <v>26</v>
      </c>
    </row>
    <row r="3" s="190" customFormat="1" ht="30.95" customHeight="1" spans="1:27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1074" t="s">
        <v>854</v>
      </c>
      <c r="M3" s="1074" t="s">
        <v>855</v>
      </c>
      <c r="N3" s="942" t="s">
        <v>186</v>
      </c>
      <c r="O3" s="19" t="s">
        <v>187</v>
      </c>
      <c r="P3" s="19" t="s">
        <v>73</v>
      </c>
      <c r="Q3" s="21"/>
      <c r="R3" s="21"/>
      <c r="S3" s="32"/>
      <c r="T3" s="21"/>
      <c r="U3" s="24"/>
      <c r="V3" s="19"/>
      <c r="W3" s="204"/>
      <c r="X3" s="204"/>
      <c r="Y3" s="204"/>
      <c r="Z3" s="27"/>
    </row>
    <row r="4" s="159" customFormat="1" ht="27.75" hidden="1" customHeight="1" spans="1:27">
      <c r="A4" s="1075">
        <f t="shared" ref="A4:A16" si="0">ROW()-3</f>
        <v>1</v>
      </c>
      <c r="B4" s="51" t="s">
        <v>341</v>
      </c>
      <c r="C4" s="48" t="s">
        <v>342</v>
      </c>
      <c r="D4" s="51" t="s">
        <v>346</v>
      </c>
      <c r="E4" s="51"/>
      <c r="F4" s="56">
        <v>45954</v>
      </c>
      <c r="G4" s="56">
        <v>46024</v>
      </c>
      <c r="H4" s="56">
        <v>46024</v>
      </c>
      <c r="I4" s="614">
        <v>45968</v>
      </c>
      <c r="J4" s="772">
        <f>M4</f>
        <v>324</v>
      </c>
      <c r="K4" s="48">
        <v>12</v>
      </c>
      <c r="L4" s="772"/>
      <c r="M4" s="772">
        <f>144+180</f>
        <v>324</v>
      </c>
      <c r="N4" s="48" t="s">
        <v>856</v>
      </c>
      <c r="O4" s="48" t="s">
        <v>81</v>
      </c>
      <c r="P4" s="48" t="s">
        <v>327</v>
      </c>
      <c r="Q4" s="48" t="s">
        <v>857</v>
      </c>
      <c r="R4" s="211" t="s">
        <v>84</v>
      </c>
      <c r="S4" s="211" t="s">
        <v>808</v>
      </c>
      <c r="T4" s="48" t="s">
        <v>858</v>
      </c>
      <c r="U4" s="48" t="s">
        <v>859</v>
      </c>
      <c r="V4" s="1045">
        <v>46020</v>
      </c>
      <c r="W4" s="211">
        <v>46021</v>
      </c>
      <c r="X4" s="308"/>
      <c r="Y4" s="211">
        <v>46041</v>
      </c>
      <c r="Z4" s="177" t="s">
        <v>860</v>
      </c>
      <c r="AA4" s="159" t="s">
        <v>861</v>
      </c>
    </row>
    <row r="5" s="159" customFormat="1" ht="27.75" hidden="1" customHeight="1" spans="1:27">
      <c r="A5" s="1075">
        <f t="shared" si="0"/>
        <v>2</v>
      </c>
      <c r="B5" s="51" t="s">
        <v>341</v>
      </c>
      <c r="C5" s="48" t="s">
        <v>342</v>
      </c>
      <c r="D5" s="51" t="s">
        <v>348</v>
      </c>
      <c r="E5" s="51" t="s">
        <v>349</v>
      </c>
      <c r="F5" s="56">
        <v>45954</v>
      </c>
      <c r="G5" s="56">
        <v>46080</v>
      </c>
      <c r="H5" s="56">
        <v>46080</v>
      </c>
      <c r="I5" s="614">
        <v>46021</v>
      </c>
      <c r="J5" s="772">
        <v>156</v>
      </c>
      <c r="K5" s="48">
        <v>12</v>
      </c>
      <c r="L5" s="772"/>
      <c r="M5" s="772">
        <v>156</v>
      </c>
      <c r="N5" s="1076" t="s">
        <v>856</v>
      </c>
      <c r="O5" s="1076" t="s">
        <v>81</v>
      </c>
      <c r="P5" s="1076" t="s">
        <v>327</v>
      </c>
      <c r="Q5" s="48" t="s">
        <v>857</v>
      </c>
      <c r="R5" s="211" t="s">
        <v>84</v>
      </c>
      <c r="S5" s="211" t="s">
        <v>808</v>
      </c>
      <c r="T5" s="48" t="s">
        <v>720</v>
      </c>
      <c r="U5" s="48" t="s">
        <v>859</v>
      </c>
      <c r="V5" s="1045">
        <v>46078</v>
      </c>
      <c r="W5" s="211">
        <v>46086</v>
      </c>
      <c r="X5" s="308"/>
      <c r="Y5" s="211">
        <v>46090</v>
      </c>
      <c r="Z5" s="177" t="s">
        <v>862</v>
      </c>
      <c r="AA5" s="159" t="s">
        <v>861</v>
      </c>
    </row>
    <row r="6" s="159" customFormat="1" ht="27.75" hidden="1" customHeight="1" spans="1:27">
      <c r="A6" s="1075">
        <f t="shared" si="0"/>
        <v>3</v>
      </c>
      <c r="B6" s="48" t="s">
        <v>394</v>
      </c>
      <c r="C6" s="48" t="s">
        <v>342</v>
      </c>
      <c r="D6" s="51" t="s">
        <v>863</v>
      </c>
      <c r="E6" s="51" t="s">
        <v>864</v>
      </c>
      <c r="F6" s="56">
        <v>46099</v>
      </c>
      <c r="G6" s="56">
        <v>46177</v>
      </c>
      <c r="H6" s="56">
        <v>46177</v>
      </c>
      <c r="I6" s="614">
        <v>46113</v>
      </c>
      <c r="J6" s="772">
        <f t="shared" ref="J6:J15" si="1">SUBTOTAL(9,L6:M6)</f>
        <v>0</v>
      </c>
      <c r="K6" s="48">
        <v>12</v>
      </c>
      <c r="L6" s="705"/>
      <c r="M6" s="772">
        <v>144</v>
      </c>
      <c r="N6" s="1076" t="s">
        <v>82</v>
      </c>
      <c r="O6" s="1076" t="s">
        <v>81</v>
      </c>
      <c r="P6" s="1076" t="s">
        <v>499</v>
      </c>
      <c r="Q6" s="48" t="s">
        <v>857</v>
      </c>
      <c r="R6" s="211" t="s">
        <v>84</v>
      </c>
      <c r="S6" s="211" t="s">
        <v>865</v>
      </c>
      <c r="T6" s="48" t="s">
        <v>514</v>
      </c>
      <c r="U6" s="48" t="s">
        <v>866</v>
      </c>
      <c r="V6" s="1046">
        <v>46177</v>
      </c>
      <c r="W6" s="211">
        <v>46175</v>
      </c>
      <c r="X6" s="211"/>
      <c r="Y6" s="211">
        <v>46205</v>
      </c>
      <c r="Z6" s="177" t="s">
        <v>867</v>
      </c>
      <c r="AA6" s="159" t="s">
        <v>868</v>
      </c>
    </row>
    <row r="7" s="159" customFormat="1" ht="27.75" hidden="1" customHeight="1" spans="1:27">
      <c r="A7" s="1075">
        <f t="shared" si="0"/>
        <v>4</v>
      </c>
      <c r="B7" s="48" t="s">
        <v>394</v>
      </c>
      <c r="C7" s="48" t="s">
        <v>342</v>
      </c>
      <c r="D7" s="51" t="s">
        <v>863</v>
      </c>
      <c r="E7" s="51" t="s">
        <v>864</v>
      </c>
      <c r="F7" s="56">
        <v>46099</v>
      </c>
      <c r="G7" s="56">
        <v>46177</v>
      </c>
      <c r="H7" s="56">
        <v>46177</v>
      </c>
      <c r="I7" s="614">
        <v>46113</v>
      </c>
      <c r="J7" s="772">
        <f t="shared" si="1"/>
        <v>0</v>
      </c>
      <c r="K7" s="48">
        <v>12</v>
      </c>
      <c r="L7" s="772">
        <v>348</v>
      </c>
      <c r="M7" s="772">
        <v>384</v>
      </c>
      <c r="N7" s="1076" t="s">
        <v>82</v>
      </c>
      <c r="O7" s="1076" t="s">
        <v>81</v>
      </c>
      <c r="P7" s="1076" t="s">
        <v>499</v>
      </c>
      <c r="Q7" s="48" t="s">
        <v>857</v>
      </c>
      <c r="R7" s="211" t="str">
        <f>R6</f>
        <v>/</v>
      </c>
      <c r="S7" s="211" t="s">
        <v>865</v>
      </c>
      <c r="T7" s="48" t="s">
        <v>514</v>
      </c>
      <c r="U7" s="48" t="s">
        <v>866</v>
      </c>
      <c r="V7" s="1046">
        <v>46177</v>
      </c>
      <c r="W7" s="211">
        <v>46175</v>
      </c>
      <c r="X7" s="211"/>
      <c r="Y7" s="211">
        <v>46205</v>
      </c>
      <c r="Z7" s="177" t="s">
        <v>869</v>
      </c>
      <c r="AA7" s="159" t="s">
        <v>861</v>
      </c>
    </row>
    <row r="8" s="159" customFormat="1" ht="27.75" hidden="1" customHeight="1" spans="1:27">
      <c r="A8" s="1075">
        <f t="shared" si="0"/>
        <v>5</v>
      </c>
      <c r="B8" s="48" t="s">
        <v>394</v>
      </c>
      <c r="C8" s="48" t="s">
        <v>342</v>
      </c>
      <c r="D8" s="51" t="s">
        <v>863</v>
      </c>
      <c r="E8" s="51" t="s">
        <v>864</v>
      </c>
      <c r="F8" s="56">
        <v>46099</v>
      </c>
      <c r="G8" s="56">
        <v>46177</v>
      </c>
      <c r="H8" s="56">
        <v>46177</v>
      </c>
      <c r="I8" s="614">
        <v>46113</v>
      </c>
      <c r="J8" s="772">
        <f t="shared" si="1"/>
        <v>0</v>
      </c>
      <c r="K8" s="48">
        <v>12</v>
      </c>
      <c r="L8" s="772"/>
      <c r="M8" s="772">
        <v>180</v>
      </c>
      <c r="N8" s="1076" t="s">
        <v>82</v>
      </c>
      <c r="O8" s="1076" t="s">
        <v>81</v>
      </c>
      <c r="P8" s="1076" t="s">
        <v>499</v>
      </c>
      <c r="Q8" s="48" t="s">
        <v>857</v>
      </c>
      <c r="R8" s="211" t="str">
        <f>R7</f>
        <v>/</v>
      </c>
      <c r="S8" s="211" t="s">
        <v>865</v>
      </c>
      <c r="T8" s="48" t="s">
        <v>514</v>
      </c>
      <c r="U8" s="48" t="s">
        <v>866</v>
      </c>
      <c r="V8" s="1046">
        <v>46177</v>
      </c>
      <c r="W8" s="211">
        <v>46175</v>
      </c>
      <c r="X8" s="211"/>
      <c r="Y8" s="211">
        <v>46205</v>
      </c>
      <c r="Z8" s="177" t="s">
        <v>870</v>
      </c>
      <c r="AA8" s="159" t="s">
        <v>861</v>
      </c>
    </row>
    <row r="9" s="159" customFormat="1" ht="27.75" hidden="1" customHeight="1" spans="1:27">
      <c r="A9" s="1075">
        <f t="shared" si="0"/>
        <v>6</v>
      </c>
      <c r="B9" s="48" t="s">
        <v>394</v>
      </c>
      <c r="C9" s="48" t="s">
        <v>342</v>
      </c>
      <c r="D9" s="51" t="s">
        <v>524</v>
      </c>
      <c r="E9" s="51" t="s">
        <v>525</v>
      </c>
      <c r="F9" s="56">
        <v>46105</v>
      </c>
      <c r="G9" s="56">
        <v>46203</v>
      </c>
      <c r="H9" s="56">
        <v>46203</v>
      </c>
      <c r="I9" s="614">
        <v>46156</v>
      </c>
      <c r="J9" s="772">
        <f t="shared" si="1"/>
        <v>0</v>
      </c>
      <c r="K9" s="48">
        <v>12</v>
      </c>
      <c r="L9" s="772"/>
      <c r="M9" s="772">
        <v>216</v>
      </c>
      <c r="N9" s="48" t="s">
        <v>82</v>
      </c>
      <c r="O9" s="48" t="s">
        <v>81</v>
      </c>
      <c r="P9" s="48" t="s">
        <v>834</v>
      </c>
      <c r="Q9" s="48" t="s">
        <v>857</v>
      </c>
      <c r="R9" s="211" t="str">
        <f>R21</f>
        <v>/</v>
      </c>
      <c r="S9" s="211" t="s">
        <v>871</v>
      </c>
      <c r="T9" s="48" t="s">
        <v>526</v>
      </c>
      <c r="U9" s="48" t="s">
        <v>866</v>
      </c>
      <c r="V9" s="1045">
        <v>46203</v>
      </c>
      <c r="W9" s="211">
        <v>46204</v>
      </c>
      <c r="X9" s="308"/>
      <c r="Y9" s="211">
        <v>46216</v>
      </c>
      <c r="Z9" s="177" t="s">
        <v>872</v>
      </c>
      <c r="AA9" s="159" t="s">
        <v>861</v>
      </c>
    </row>
    <row r="10" s="159" customFormat="1" ht="27.75" hidden="1" customHeight="1" spans="1:27">
      <c r="A10" s="1075">
        <f t="shared" si="0"/>
        <v>7</v>
      </c>
      <c r="B10" s="48" t="s">
        <v>394</v>
      </c>
      <c r="C10" s="48" t="s">
        <v>342</v>
      </c>
      <c r="D10" s="51" t="s">
        <v>532</v>
      </c>
      <c r="E10" s="51" t="s">
        <v>533</v>
      </c>
      <c r="F10" s="56">
        <v>46129</v>
      </c>
      <c r="G10" s="56">
        <v>46205</v>
      </c>
      <c r="H10" s="56">
        <v>46205</v>
      </c>
      <c r="I10" s="614">
        <v>46156</v>
      </c>
      <c r="J10" s="772">
        <f t="shared" si="1"/>
        <v>0</v>
      </c>
      <c r="K10" s="48">
        <v>12</v>
      </c>
      <c r="L10" s="772"/>
      <c r="M10" s="772">
        <v>144</v>
      </c>
      <c r="N10" s="48" t="s">
        <v>82</v>
      </c>
      <c r="O10" s="48" t="s">
        <v>81</v>
      </c>
      <c r="P10" s="48" t="s">
        <v>834</v>
      </c>
      <c r="Q10" s="48" t="s">
        <v>857</v>
      </c>
      <c r="R10" s="211" t="str">
        <f>R15</f>
        <v>/</v>
      </c>
      <c r="S10" s="211" t="s">
        <v>871</v>
      </c>
      <c r="T10" s="48" t="s">
        <v>561</v>
      </c>
      <c r="U10" s="48" t="s">
        <v>866</v>
      </c>
      <c r="V10" s="1045">
        <v>46205</v>
      </c>
      <c r="W10" s="211">
        <v>46213</v>
      </c>
      <c r="X10" s="308"/>
      <c r="Y10" s="211">
        <v>46216</v>
      </c>
      <c r="Z10" s="177" t="s">
        <v>873</v>
      </c>
      <c r="AA10" s="159" t="s">
        <v>861</v>
      </c>
    </row>
    <row r="11" s="159" customFormat="1" ht="27.75" hidden="1" customHeight="1" spans="1:27">
      <c r="A11" s="1075">
        <f t="shared" si="0"/>
        <v>8</v>
      </c>
      <c r="B11" s="48" t="s">
        <v>394</v>
      </c>
      <c r="C11" s="48" t="s">
        <v>342</v>
      </c>
      <c r="D11" s="51" t="s">
        <v>532</v>
      </c>
      <c r="E11" s="51" t="s">
        <v>533</v>
      </c>
      <c r="F11" s="56">
        <v>46129</v>
      </c>
      <c r="G11" s="56">
        <v>46205</v>
      </c>
      <c r="H11" s="56">
        <v>46205</v>
      </c>
      <c r="I11" s="614">
        <v>46156</v>
      </c>
      <c r="J11" s="772">
        <f t="shared" si="1"/>
        <v>0</v>
      </c>
      <c r="K11" s="48">
        <v>12</v>
      </c>
      <c r="L11" s="772"/>
      <c r="M11" s="772">
        <v>300</v>
      </c>
      <c r="N11" s="48" t="s">
        <v>82</v>
      </c>
      <c r="O11" s="48" t="s">
        <v>81</v>
      </c>
      <c r="P11" s="48" t="s">
        <v>834</v>
      </c>
      <c r="Q11" s="48" t="s">
        <v>857</v>
      </c>
      <c r="R11" s="211" t="str">
        <f>R10</f>
        <v>/</v>
      </c>
      <c r="S11" s="211" t="s">
        <v>871</v>
      </c>
      <c r="T11" s="48" t="s">
        <v>561</v>
      </c>
      <c r="U11" s="48" t="s">
        <v>866</v>
      </c>
      <c r="V11" s="1045">
        <v>46205</v>
      </c>
      <c r="W11" s="211">
        <v>46213</v>
      </c>
      <c r="X11" s="308"/>
      <c r="Y11" s="211">
        <v>46216</v>
      </c>
      <c r="Z11" s="177" t="s">
        <v>874</v>
      </c>
      <c r="AA11" s="159" t="s">
        <v>861</v>
      </c>
    </row>
    <row r="12" s="159" customFormat="1" ht="27.75" hidden="1" customHeight="1" spans="1:27">
      <c r="A12" s="1075">
        <f t="shared" si="0"/>
        <v>9</v>
      </c>
      <c r="B12" s="48" t="s">
        <v>394</v>
      </c>
      <c r="C12" s="48" t="s">
        <v>342</v>
      </c>
      <c r="D12" s="51" t="s">
        <v>532</v>
      </c>
      <c r="E12" s="51" t="s">
        <v>533</v>
      </c>
      <c r="F12" s="56">
        <v>46129</v>
      </c>
      <c r="G12" s="56">
        <v>46205</v>
      </c>
      <c r="H12" s="56">
        <v>46205</v>
      </c>
      <c r="I12" s="614">
        <v>46156</v>
      </c>
      <c r="J12" s="772">
        <f t="shared" si="1"/>
        <v>0</v>
      </c>
      <c r="K12" s="48">
        <v>12</v>
      </c>
      <c r="L12" s="772"/>
      <c r="M12" s="772">
        <v>144</v>
      </c>
      <c r="N12" s="48" t="s">
        <v>82</v>
      </c>
      <c r="O12" s="48" t="s">
        <v>81</v>
      </c>
      <c r="P12" s="48" t="s">
        <v>834</v>
      </c>
      <c r="Q12" s="48" t="s">
        <v>857</v>
      </c>
      <c r="R12" s="211" t="str">
        <f>R11</f>
        <v>/</v>
      </c>
      <c r="S12" s="211" t="s">
        <v>871</v>
      </c>
      <c r="T12" s="48" t="s">
        <v>561</v>
      </c>
      <c r="U12" s="48" t="s">
        <v>866</v>
      </c>
      <c r="V12" s="1045">
        <v>46205</v>
      </c>
      <c r="W12" s="211">
        <v>46213</v>
      </c>
      <c r="X12" s="308"/>
      <c r="Y12" s="211">
        <v>46216</v>
      </c>
      <c r="Z12" s="177" t="s">
        <v>875</v>
      </c>
      <c r="AA12" s="159" t="s">
        <v>861</v>
      </c>
    </row>
    <row r="13" s="159" customFormat="1" ht="27.75" hidden="1" customHeight="1" spans="1:27">
      <c r="A13" s="1075">
        <f t="shared" si="0"/>
        <v>10</v>
      </c>
      <c r="B13" s="48" t="s">
        <v>394</v>
      </c>
      <c r="C13" s="48" t="s">
        <v>342</v>
      </c>
      <c r="D13" s="51" t="s">
        <v>876</v>
      </c>
      <c r="E13" s="51" t="s">
        <v>877</v>
      </c>
      <c r="F13" s="56">
        <v>46099</v>
      </c>
      <c r="G13" s="56">
        <v>46210</v>
      </c>
      <c r="H13" s="56">
        <v>46210</v>
      </c>
      <c r="I13" s="614">
        <v>46114</v>
      </c>
      <c r="J13" s="772">
        <f t="shared" si="1"/>
        <v>0</v>
      </c>
      <c r="K13" s="48">
        <v>12</v>
      </c>
      <c r="L13" s="772">
        <v>120</v>
      </c>
      <c r="M13" s="772">
        <v>360</v>
      </c>
      <c r="N13" s="48" t="s">
        <v>878</v>
      </c>
      <c r="O13" s="48" t="s">
        <v>81</v>
      </c>
      <c r="P13" s="48" t="s">
        <v>834</v>
      </c>
      <c r="Q13" s="48" t="s">
        <v>857</v>
      </c>
      <c r="R13" s="211" t="str">
        <f>R8</f>
        <v>/</v>
      </c>
      <c r="S13" s="211" t="s">
        <v>871</v>
      </c>
      <c r="T13" s="48" t="s">
        <v>561</v>
      </c>
      <c r="U13" s="48" t="s">
        <v>866</v>
      </c>
      <c r="V13" s="1046">
        <v>46210</v>
      </c>
      <c r="W13" s="211">
        <v>46213</v>
      </c>
      <c r="X13" s="308"/>
      <c r="Y13" s="211">
        <v>46221</v>
      </c>
      <c r="Z13" s="177" t="s">
        <v>879</v>
      </c>
      <c r="AA13" s="159" t="s">
        <v>868</v>
      </c>
    </row>
    <row r="14" s="159" customFormat="1" ht="27.75" hidden="1" customHeight="1" spans="1:27">
      <c r="A14" s="1075">
        <f t="shared" si="0"/>
        <v>11</v>
      </c>
      <c r="B14" s="48" t="s">
        <v>394</v>
      </c>
      <c r="C14" s="48" t="s">
        <v>342</v>
      </c>
      <c r="D14" s="51" t="s">
        <v>876</v>
      </c>
      <c r="E14" s="51" t="s">
        <v>877</v>
      </c>
      <c r="F14" s="56">
        <v>46099</v>
      </c>
      <c r="G14" s="56">
        <v>46210</v>
      </c>
      <c r="H14" s="56">
        <v>46210</v>
      </c>
      <c r="I14" s="614">
        <v>46114</v>
      </c>
      <c r="J14" s="772">
        <f t="shared" si="1"/>
        <v>0</v>
      </c>
      <c r="K14" s="48">
        <v>12</v>
      </c>
      <c r="L14" s="772"/>
      <c r="M14" s="772">
        <v>180</v>
      </c>
      <c r="N14" s="48" t="s">
        <v>878</v>
      </c>
      <c r="O14" s="48" t="s">
        <v>81</v>
      </c>
      <c r="P14" s="48" t="s">
        <v>834</v>
      </c>
      <c r="Q14" s="48" t="s">
        <v>857</v>
      </c>
      <c r="R14" s="211" t="str">
        <f>R13</f>
        <v>/</v>
      </c>
      <c r="S14" s="211" t="s">
        <v>871</v>
      </c>
      <c r="T14" s="48" t="s">
        <v>561</v>
      </c>
      <c r="U14" s="48" t="s">
        <v>866</v>
      </c>
      <c r="V14" s="1046">
        <v>46210</v>
      </c>
      <c r="W14" s="211">
        <v>46213</v>
      </c>
      <c r="X14" s="308"/>
      <c r="Y14" s="211">
        <v>46221</v>
      </c>
      <c r="Z14" s="177" t="s">
        <v>880</v>
      </c>
      <c r="AA14" s="159" t="s">
        <v>868</v>
      </c>
    </row>
    <row r="15" s="159" customFormat="1" ht="27.75" hidden="1" customHeight="1" spans="1:27">
      <c r="A15" s="1075">
        <f t="shared" si="0"/>
        <v>12</v>
      </c>
      <c r="B15" s="48" t="s">
        <v>394</v>
      </c>
      <c r="C15" s="48" t="s">
        <v>342</v>
      </c>
      <c r="D15" s="51" t="s">
        <v>876</v>
      </c>
      <c r="E15" s="51" t="s">
        <v>877</v>
      </c>
      <c r="F15" s="56">
        <v>46099</v>
      </c>
      <c r="G15" s="56">
        <v>46210</v>
      </c>
      <c r="H15" s="56">
        <v>46210</v>
      </c>
      <c r="I15" s="614">
        <v>46114</v>
      </c>
      <c r="J15" s="772">
        <f t="shared" si="1"/>
        <v>0</v>
      </c>
      <c r="K15" s="48">
        <v>12</v>
      </c>
      <c r="L15" s="772">
        <v>216</v>
      </c>
      <c r="M15" s="772">
        <v>168</v>
      </c>
      <c r="N15" s="48" t="s">
        <v>878</v>
      </c>
      <c r="O15" s="48" t="s">
        <v>81</v>
      </c>
      <c r="P15" s="48" t="s">
        <v>834</v>
      </c>
      <c r="Q15" s="48" t="s">
        <v>857</v>
      </c>
      <c r="R15" s="211" t="str">
        <f>R14</f>
        <v>/</v>
      </c>
      <c r="S15" s="211" t="s">
        <v>871</v>
      </c>
      <c r="T15" s="48" t="s">
        <v>561</v>
      </c>
      <c r="U15" s="48" t="s">
        <v>866</v>
      </c>
      <c r="V15" s="1046">
        <v>46210</v>
      </c>
      <c r="W15" s="211">
        <v>46213</v>
      </c>
      <c r="X15" s="308"/>
      <c r="Y15" s="211">
        <v>46221</v>
      </c>
      <c r="Z15" s="177" t="s">
        <v>881</v>
      </c>
      <c r="AA15" s="159" t="s">
        <v>861</v>
      </c>
    </row>
    <row r="16" s="159" customFormat="1" ht="30.95" hidden="1" customHeight="1" spans="1:27">
      <c r="A16" s="1075">
        <f t="shared" si="0"/>
        <v>13</v>
      </c>
      <c r="B16" s="48" t="s">
        <v>394</v>
      </c>
      <c r="C16" s="48" t="s">
        <v>342</v>
      </c>
      <c r="D16" s="51" t="s">
        <v>765</v>
      </c>
      <c r="E16" s="51" t="s">
        <v>766</v>
      </c>
      <c r="F16" s="56">
        <v>46105</v>
      </c>
      <c r="G16" s="56">
        <v>46238</v>
      </c>
      <c r="H16" s="56">
        <v>46238</v>
      </c>
      <c r="I16" s="614">
        <v>46185</v>
      </c>
      <c r="J16" s="772">
        <f>SUM(L16:M16)</f>
        <v>144</v>
      </c>
      <c r="K16" s="48">
        <v>12</v>
      </c>
      <c r="L16" s="772"/>
      <c r="M16" s="772">
        <v>144</v>
      </c>
      <c r="N16" s="48" t="s">
        <v>878</v>
      </c>
      <c r="O16" s="48" t="s">
        <v>81</v>
      </c>
      <c r="P16" s="48" t="s">
        <v>767</v>
      </c>
      <c r="Q16" s="48" t="s">
        <v>857</v>
      </c>
      <c r="R16" s="211" t="str">
        <f>R9</f>
        <v>/</v>
      </c>
      <c r="S16" s="211" t="s">
        <v>603</v>
      </c>
      <c r="T16" s="48" t="s">
        <v>603</v>
      </c>
      <c r="U16" s="48" t="s">
        <v>866</v>
      </c>
      <c r="V16" s="1045">
        <v>46238</v>
      </c>
      <c r="W16" s="308">
        <v>46239</v>
      </c>
      <c r="X16" s="308"/>
      <c r="Y16" s="211">
        <v>46249</v>
      </c>
      <c r="Z16" s="177" t="s">
        <v>882</v>
      </c>
      <c r="AA16" s="159" t="s">
        <v>861</v>
      </c>
    </row>
    <row r="17" s="159" customFormat="1" ht="30.95" hidden="1" customHeight="1" spans="1:27">
      <c r="A17" s="1075">
        <f t="shared" ref="A17:A29" si="2">ROW()-3</f>
        <v>14</v>
      </c>
      <c r="B17" s="48" t="s">
        <v>394</v>
      </c>
      <c r="C17" s="48" t="s">
        <v>342</v>
      </c>
      <c r="D17" s="51" t="s">
        <v>765</v>
      </c>
      <c r="E17" s="51" t="s">
        <v>766</v>
      </c>
      <c r="F17" s="56">
        <v>46129</v>
      </c>
      <c r="G17" s="56">
        <v>46239</v>
      </c>
      <c r="H17" s="56">
        <v>46239</v>
      </c>
      <c r="I17" s="614">
        <v>46185</v>
      </c>
      <c r="J17" s="772">
        <f t="shared" ref="J17:J28" si="3">SUBTOTAL(9,L17:M17)</f>
        <v>0</v>
      </c>
      <c r="K17" s="48">
        <v>12</v>
      </c>
      <c r="L17" s="772"/>
      <c r="M17" s="772">
        <v>168</v>
      </c>
      <c r="N17" s="48" t="s">
        <v>878</v>
      </c>
      <c r="O17" s="48" t="s">
        <v>81</v>
      </c>
      <c r="P17" s="48" t="s">
        <v>767</v>
      </c>
      <c r="Q17" s="48" t="s">
        <v>857</v>
      </c>
      <c r="R17" s="211" t="str">
        <f t="shared" ref="R17:R28" si="4">R16</f>
        <v>/</v>
      </c>
      <c r="S17" s="211" t="s">
        <v>603</v>
      </c>
      <c r="T17" s="48" t="s">
        <v>603</v>
      </c>
      <c r="U17" s="48" t="s">
        <v>866</v>
      </c>
      <c r="V17" s="1045">
        <v>46239</v>
      </c>
      <c r="W17" s="308">
        <v>46247</v>
      </c>
      <c r="X17" s="308"/>
      <c r="Y17" s="211">
        <v>46249</v>
      </c>
      <c r="Z17" s="177" t="s">
        <v>883</v>
      </c>
      <c r="AA17" s="159" t="s">
        <v>861</v>
      </c>
    </row>
    <row r="18" s="159" customFormat="1" ht="30.95" hidden="1" customHeight="1" spans="1:27">
      <c r="A18" s="1075">
        <f t="shared" si="2"/>
        <v>15</v>
      </c>
      <c r="B18" s="48" t="s">
        <v>394</v>
      </c>
      <c r="C18" s="48" t="s">
        <v>342</v>
      </c>
      <c r="D18" s="51" t="s">
        <v>765</v>
      </c>
      <c r="E18" s="51" t="s">
        <v>766</v>
      </c>
      <c r="F18" s="56">
        <v>46129</v>
      </c>
      <c r="G18" s="56">
        <v>46239</v>
      </c>
      <c r="H18" s="56">
        <v>46239</v>
      </c>
      <c r="I18" s="614">
        <v>46185</v>
      </c>
      <c r="J18" s="772">
        <f t="shared" si="3"/>
        <v>0</v>
      </c>
      <c r="K18" s="48">
        <v>12</v>
      </c>
      <c r="L18" s="772"/>
      <c r="M18" s="772">
        <v>132</v>
      </c>
      <c r="N18" s="48" t="s">
        <v>878</v>
      </c>
      <c r="O18" s="48" t="s">
        <v>81</v>
      </c>
      <c r="P18" s="48" t="s">
        <v>767</v>
      </c>
      <c r="Q18" s="48" t="s">
        <v>857</v>
      </c>
      <c r="R18" s="211" t="str">
        <f t="shared" si="4"/>
        <v>/</v>
      </c>
      <c r="S18" s="211" t="s">
        <v>603</v>
      </c>
      <c r="T18" s="48" t="s">
        <v>603</v>
      </c>
      <c r="U18" s="48" t="s">
        <v>866</v>
      </c>
      <c r="V18" s="1045">
        <v>46239</v>
      </c>
      <c r="W18" s="308">
        <v>46247</v>
      </c>
      <c r="X18" s="308"/>
      <c r="Y18" s="211">
        <v>46249</v>
      </c>
      <c r="Z18" s="177" t="s">
        <v>884</v>
      </c>
      <c r="AA18" s="159" t="s">
        <v>861</v>
      </c>
    </row>
    <row r="19" s="159" customFormat="1" ht="30.95" hidden="1" customHeight="1" spans="1:27">
      <c r="A19" s="1075">
        <f t="shared" si="2"/>
        <v>16</v>
      </c>
      <c r="B19" s="48" t="s">
        <v>394</v>
      </c>
      <c r="C19" s="48" t="s">
        <v>342</v>
      </c>
      <c r="D19" s="51" t="s">
        <v>765</v>
      </c>
      <c r="E19" s="51" t="s">
        <v>766</v>
      </c>
      <c r="F19" s="56">
        <v>46099</v>
      </c>
      <c r="G19" s="56">
        <v>46245</v>
      </c>
      <c r="H19" s="56">
        <v>46245</v>
      </c>
      <c r="I19" s="614">
        <v>46185</v>
      </c>
      <c r="J19" s="772">
        <f t="shared" si="3"/>
        <v>0</v>
      </c>
      <c r="K19" s="48">
        <v>12</v>
      </c>
      <c r="L19" s="772">
        <v>168</v>
      </c>
      <c r="M19" s="1077">
        <v>480</v>
      </c>
      <c r="N19" s="48" t="s">
        <v>878</v>
      </c>
      <c r="O19" s="48" t="s">
        <v>81</v>
      </c>
      <c r="P19" s="48" t="s">
        <v>767</v>
      </c>
      <c r="Q19" s="48" t="s">
        <v>857</v>
      </c>
      <c r="R19" s="211" t="str">
        <f>R12</f>
        <v>/</v>
      </c>
      <c r="S19" s="211" t="s">
        <v>603</v>
      </c>
      <c r="T19" s="48" t="s">
        <v>603</v>
      </c>
      <c r="U19" s="48" t="s">
        <v>866</v>
      </c>
      <c r="V19" s="1046">
        <v>46245</v>
      </c>
      <c r="W19" s="211">
        <v>46247</v>
      </c>
      <c r="X19" s="308"/>
      <c r="Y19" s="211">
        <v>46256</v>
      </c>
      <c r="Z19" s="177" t="s">
        <v>885</v>
      </c>
      <c r="AA19" s="159" t="s">
        <v>868</v>
      </c>
    </row>
    <row r="20" s="159" customFormat="1" ht="30.95" hidden="1" customHeight="1" spans="1:27">
      <c r="A20" s="1075">
        <f t="shared" si="2"/>
        <v>17</v>
      </c>
      <c r="B20" s="48" t="s">
        <v>394</v>
      </c>
      <c r="C20" s="48" t="s">
        <v>342</v>
      </c>
      <c r="D20" s="51" t="s">
        <v>765</v>
      </c>
      <c r="E20" s="51" t="s">
        <v>766</v>
      </c>
      <c r="F20" s="56">
        <v>46099</v>
      </c>
      <c r="G20" s="56">
        <v>46245</v>
      </c>
      <c r="H20" s="56">
        <v>46245</v>
      </c>
      <c r="I20" s="614">
        <v>46185</v>
      </c>
      <c r="J20" s="772">
        <f t="shared" si="3"/>
        <v>0</v>
      </c>
      <c r="K20" s="48">
        <v>12</v>
      </c>
      <c r="L20" s="772">
        <v>276</v>
      </c>
      <c r="M20" s="772">
        <v>216</v>
      </c>
      <c r="N20" s="48" t="s">
        <v>878</v>
      </c>
      <c r="O20" s="48" t="s">
        <v>81</v>
      </c>
      <c r="P20" s="48" t="s">
        <v>767</v>
      </c>
      <c r="Q20" s="48" t="s">
        <v>857</v>
      </c>
      <c r="R20" s="211" t="str">
        <f t="shared" si="4"/>
        <v>/</v>
      </c>
      <c r="S20" s="211" t="s">
        <v>603</v>
      </c>
      <c r="T20" s="48" t="s">
        <v>603</v>
      </c>
      <c r="U20" s="48" t="s">
        <v>866</v>
      </c>
      <c r="V20" s="1046">
        <v>46245</v>
      </c>
      <c r="W20" s="211">
        <v>46247</v>
      </c>
      <c r="X20" s="308"/>
      <c r="Y20" s="211">
        <v>46256</v>
      </c>
      <c r="Z20" s="177" t="s">
        <v>886</v>
      </c>
      <c r="AA20" s="159" t="s">
        <v>868</v>
      </c>
    </row>
    <row r="21" s="159" customFormat="1" ht="30.95" hidden="1" customHeight="1" spans="1:27">
      <c r="A21" s="1075">
        <f t="shared" si="2"/>
        <v>18</v>
      </c>
      <c r="B21" s="48" t="s">
        <v>394</v>
      </c>
      <c r="C21" s="48" t="s">
        <v>342</v>
      </c>
      <c r="D21" s="51" t="s">
        <v>765</v>
      </c>
      <c r="E21" s="51" t="s">
        <v>766</v>
      </c>
      <c r="F21" s="56">
        <v>46099</v>
      </c>
      <c r="G21" s="56">
        <v>46245</v>
      </c>
      <c r="H21" s="56">
        <v>46245</v>
      </c>
      <c r="I21" s="614">
        <v>46185</v>
      </c>
      <c r="J21" s="772">
        <f t="shared" si="3"/>
        <v>0</v>
      </c>
      <c r="K21" s="48">
        <v>12</v>
      </c>
      <c r="L21" s="772"/>
      <c r="M21" s="772">
        <v>240</v>
      </c>
      <c r="N21" s="48" t="s">
        <v>878</v>
      </c>
      <c r="O21" s="48" t="s">
        <v>81</v>
      </c>
      <c r="P21" s="48" t="s">
        <v>767</v>
      </c>
      <c r="Q21" s="48" t="s">
        <v>857</v>
      </c>
      <c r="R21" s="211" t="str">
        <f t="shared" si="4"/>
        <v>/</v>
      </c>
      <c r="S21" s="211" t="s">
        <v>603</v>
      </c>
      <c r="T21" s="48" t="s">
        <v>603</v>
      </c>
      <c r="U21" s="48" t="s">
        <v>866</v>
      </c>
      <c r="V21" s="1046">
        <v>46245</v>
      </c>
      <c r="W21" s="211">
        <v>46247</v>
      </c>
      <c r="X21" s="308"/>
      <c r="Y21" s="211">
        <v>46256</v>
      </c>
      <c r="Z21" s="177" t="s">
        <v>887</v>
      </c>
      <c r="AA21" s="159" t="s">
        <v>861</v>
      </c>
    </row>
    <row r="22" s="159" customFormat="1" ht="24.95" customHeight="1" spans="1:27">
      <c r="A22" s="1078">
        <f t="shared" si="2"/>
        <v>19</v>
      </c>
      <c r="B22" s="183" t="s">
        <v>394</v>
      </c>
      <c r="C22" s="183" t="s">
        <v>342</v>
      </c>
      <c r="D22" s="293" t="s">
        <v>842</v>
      </c>
      <c r="E22" s="293" t="s">
        <v>843</v>
      </c>
      <c r="F22" s="82">
        <v>46205</v>
      </c>
      <c r="G22" s="82">
        <v>46282</v>
      </c>
      <c r="H22" s="82">
        <v>46282</v>
      </c>
      <c r="I22" s="562">
        <v>46220</v>
      </c>
      <c r="J22" s="1054">
        <f t="shared" si="3"/>
        <v>132</v>
      </c>
      <c r="K22" s="183">
        <v>12</v>
      </c>
      <c r="L22" s="1054"/>
      <c r="M22" s="1054">
        <v>132</v>
      </c>
      <c r="N22" s="911" t="s">
        <v>878</v>
      </c>
      <c r="O22" s="911" t="s">
        <v>81</v>
      </c>
      <c r="P22" s="911" t="s">
        <v>767</v>
      </c>
      <c r="Q22" s="183" t="s">
        <v>857</v>
      </c>
      <c r="R22" s="279" t="str">
        <f t="shared" si="4"/>
        <v>/</v>
      </c>
      <c r="S22" s="279" t="s">
        <v>603</v>
      </c>
      <c r="T22" s="183" t="s">
        <v>629</v>
      </c>
      <c r="U22" s="183" t="s">
        <v>866</v>
      </c>
      <c r="V22" s="1079">
        <v>46282</v>
      </c>
      <c r="W22" s="222">
        <v>46287</v>
      </c>
      <c r="X22" s="222"/>
      <c r="Y22" s="279"/>
      <c r="Z22" s="178" t="s">
        <v>888</v>
      </c>
      <c r="AA22" s="159" t="s">
        <v>861</v>
      </c>
    </row>
    <row r="23" s="159" customFormat="1" ht="24.95" customHeight="1" spans="1:27">
      <c r="A23" s="1078">
        <f t="shared" si="2"/>
        <v>20</v>
      </c>
      <c r="B23" s="183" t="s">
        <v>394</v>
      </c>
      <c r="C23" s="183" t="s">
        <v>342</v>
      </c>
      <c r="D23" s="293" t="s">
        <v>842</v>
      </c>
      <c r="E23" s="293" t="s">
        <v>843</v>
      </c>
      <c r="F23" s="82">
        <v>46205</v>
      </c>
      <c r="G23" s="82">
        <v>46282</v>
      </c>
      <c r="H23" s="82">
        <v>46282</v>
      </c>
      <c r="I23" s="562">
        <v>46220</v>
      </c>
      <c r="J23" s="1054">
        <f t="shared" si="3"/>
        <v>360</v>
      </c>
      <c r="K23" s="183">
        <v>12</v>
      </c>
      <c r="L23" s="1054"/>
      <c r="M23" s="1054">
        <v>360</v>
      </c>
      <c r="N23" s="911" t="s">
        <v>878</v>
      </c>
      <c r="O23" s="911" t="s">
        <v>81</v>
      </c>
      <c r="P23" s="911" t="s">
        <v>767</v>
      </c>
      <c r="Q23" s="183" t="s">
        <v>857</v>
      </c>
      <c r="R23" s="279" t="str">
        <f t="shared" si="4"/>
        <v>/</v>
      </c>
      <c r="S23" s="279" t="s">
        <v>603</v>
      </c>
      <c r="T23" s="183" t="s">
        <v>629</v>
      </c>
      <c r="U23" s="183" t="s">
        <v>866</v>
      </c>
      <c r="V23" s="1079">
        <v>46282</v>
      </c>
      <c r="W23" s="222">
        <v>46287</v>
      </c>
      <c r="X23" s="222"/>
      <c r="Y23" s="279"/>
      <c r="Z23" s="178" t="s">
        <v>889</v>
      </c>
      <c r="AA23" s="159" t="s">
        <v>861</v>
      </c>
    </row>
    <row r="24" s="159" customFormat="1" ht="24.95" customHeight="1" spans="1:27">
      <c r="A24" s="1078">
        <f t="shared" si="2"/>
        <v>21</v>
      </c>
      <c r="B24" s="183" t="s">
        <v>394</v>
      </c>
      <c r="C24" s="183" t="s">
        <v>342</v>
      </c>
      <c r="D24" s="293" t="s">
        <v>842</v>
      </c>
      <c r="E24" s="293" t="s">
        <v>843</v>
      </c>
      <c r="F24" s="82">
        <v>46205</v>
      </c>
      <c r="G24" s="82">
        <v>46282</v>
      </c>
      <c r="H24" s="82">
        <v>46282</v>
      </c>
      <c r="I24" s="562">
        <v>46220</v>
      </c>
      <c r="J24" s="1054">
        <f t="shared" si="3"/>
        <v>120</v>
      </c>
      <c r="K24" s="183">
        <v>12</v>
      </c>
      <c r="L24" s="1054"/>
      <c r="M24" s="1054">
        <v>120</v>
      </c>
      <c r="N24" s="911" t="s">
        <v>878</v>
      </c>
      <c r="O24" s="911" t="s">
        <v>81</v>
      </c>
      <c r="P24" s="911" t="s">
        <v>767</v>
      </c>
      <c r="Q24" s="183" t="s">
        <v>857</v>
      </c>
      <c r="R24" s="279" t="str">
        <f t="shared" si="4"/>
        <v>/</v>
      </c>
      <c r="S24" s="279" t="s">
        <v>603</v>
      </c>
      <c r="T24" s="183" t="s">
        <v>629</v>
      </c>
      <c r="U24" s="183" t="s">
        <v>866</v>
      </c>
      <c r="V24" s="1079">
        <v>46282</v>
      </c>
      <c r="W24" s="222">
        <v>46287</v>
      </c>
      <c r="X24" s="222"/>
      <c r="Y24" s="279"/>
      <c r="Z24" s="178" t="s">
        <v>890</v>
      </c>
      <c r="AA24" s="159" t="s">
        <v>861</v>
      </c>
    </row>
    <row r="25" s="159" customFormat="1" ht="24.95" customHeight="1" spans="1:27">
      <c r="A25" s="1078">
        <f t="shared" si="2"/>
        <v>22</v>
      </c>
      <c r="B25" s="183" t="s">
        <v>394</v>
      </c>
      <c r="C25" s="183" t="s">
        <v>342</v>
      </c>
      <c r="D25" s="293" t="s">
        <v>842</v>
      </c>
      <c r="E25" s="293" t="s">
        <v>843</v>
      </c>
      <c r="F25" s="82">
        <v>46205</v>
      </c>
      <c r="G25" s="82">
        <v>46282</v>
      </c>
      <c r="H25" s="82">
        <v>46282</v>
      </c>
      <c r="I25" s="562">
        <v>46220</v>
      </c>
      <c r="J25" s="1054">
        <f t="shared" si="3"/>
        <v>120</v>
      </c>
      <c r="K25" s="183">
        <v>12</v>
      </c>
      <c r="L25" s="1054">
        <v>120</v>
      </c>
      <c r="M25" s="1054"/>
      <c r="N25" s="911" t="s">
        <v>878</v>
      </c>
      <c r="O25" s="911" t="s">
        <v>81</v>
      </c>
      <c r="P25" s="911" t="s">
        <v>767</v>
      </c>
      <c r="Q25" s="183" t="s">
        <v>857</v>
      </c>
      <c r="R25" s="279" t="str">
        <f t="shared" si="4"/>
        <v>/</v>
      </c>
      <c r="S25" s="279" t="s">
        <v>603</v>
      </c>
      <c r="T25" s="183" t="s">
        <v>629</v>
      </c>
      <c r="U25" s="183" t="s">
        <v>866</v>
      </c>
      <c r="V25" s="1079">
        <v>46282</v>
      </c>
      <c r="W25" s="222">
        <v>46287</v>
      </c>
      <c r="X25" s="222"/>
      <c r="Y25" s="279"/>
      <c r="Z25" s="178" t="s">
        <v>891</v>
      </c>
      <c r="AA25" s="159" t="s">
        <v>892</v>
      </c>
    </row>
    <row r="26" s="159" customFormat="1" ht="24.95" customHeight="1" spans="1:27">
      <c r="A26" s="1078">
        <f t="shared" si="2"/>
        <v>23</v>
      </c>
      <c r="B26" s="183" t="s">
        <v>394</v>
      </c>
      <c r="C26" s="183" t="s">
        <v>342</v>
      </c>
      <c r="D26" s="293" t="s">
        <v>842</v>
      </c>
      <c r="E26" s="293" t="s">
        <v>843</v>
      </c>
      <c r="F26" s="82">
        <v>46205</v>
      </c>
      <c r="G26" s="82">
        <v>46282</v>
      </c>
      <c r="H26" s="82">
        <v>46282</v>
      </c>
      <c r="I26" s="562">
        <v>46220</v>
      </c>
      <c r="J26" s="1054">
        <f t="shared" si="3"/>
        <v>156</v>
      </c>
      <c r="K26" s="183">
        <v>12</v>
      </c>
      <c r="L26" s="1054">
        <v>156</v>
      </c>
      <c r="M26" s="1054"/>
      <c r="N26" s="911" t="s">
        <v>878</v>
      </c>
      <c r="O26" s="911" t="s">
        <v>81</v>
      </c>
      <c r="P26" s="911" t="s">
        <v>767</v>
      </c>
      <c r="Q26" s="183" t="s">
        <v>857</v>
      </c>
      <c r="R26" s="279" t="str">
        <f t="shared" si="4"/>
        <v>/</v>
      </c>
      <c r="S26" s="279" t="s">
        <v>603</v>
      </c>
      <c r="T26" s="183" t="s">
        <v>629</v>
      </c>
      <c r="U26" s="183" t="s">
        <v>866</v>
      </c>
      <c r="V26" s="1079">
        <v>46282</v>
      </c>
      <c r="W26" s="222">
        <v>46287</v>
      </c>
      <c r="X26" s="222"/>
      <c r="Y26" s="279"/>
      <c r="Z26" s="178" t="s">
        <v>893</v>
      </c>
      <c r="AA26" s="159" t="s">
        <v>892</v>
      </c>
    </row>
    <row r="27" s="159" customFormat="1" ht="24.95" customHeight="1" spans="1:27">
      <c r="A27" s="1078">
        <f t="shared" si="2"/>
        <v>24</v>
      </c>
      <c r="B27" s="183" t="s">
        <v>394</v>
      </c>
      <c r="C27" s="183" t="s">
        <v>342</v>
      </c>
      <c r="D27" s="293" t="s">
        <v>842</v>
      </c>
      <c r="E27" s="293" t="s">
        <v>843</v>
      </c>
      <c r="F27" s="82">
        <v>46205</v>
      </c>
      <c r="G27" s="82">
        <v>46282</v>
      </c>
      <c r="H27" s="82">
        <v>46282</v>
      </c>
      <c r="I27" s="562">
        <v>46220</v>
      </c>
      <c r="J27" s="1054">
        <f t="shared" si="3"/>
        <v>144</v>
      </c>
      <c r="K27" s="183">
        <v>12</v>
      </c>
      <c r="L27" s="1054">
        <v>144</v>
      </c>
      <c r="M27" s="1054"/>
      <c r="N27" s="911" t="s">
        <v>878</v>
      </c>
      <c r="O27" s="911" t="s">
        <v>81</v>
      </c>
      <c r="P27" s="911" t="s">
        <v>767</v>
      </c>
      <c r="Q27" s="183" t="s">
        <v>857</v>
      </c>
      <c r="R27" s="279" t="str">
        <f t="shared" si="4"/>
        <v>/</v>
      </c>
      <c r="S27" s="279" t="s">
        <v>603</v>
      </c>
      <c r="T27" s="183" t="s">
        <v>629</v>
      </c>
      <c r="U27" s="183" t="s">
        <v>866</v>
      </c>
      <c r="V27" s="1079">
        <v>46282</v>
      </c>
      <c r="W27" s="222">
        <v>46287</v>
      </c>
      <c r="X27" s="222"/>
      <c r="Y27" s="279"/>
      <c r="Z27" s="178" t="s">
        <v>894</v>
      </c>
      <c r="AA27" s="159" t="s">
        <v>892</v>
      </c>
    </row>
    <row r="28" s="159" customFormat="1" ht="24.95" customHeight="1" spans="1:27">
      <c r="A28" s="1078">
        <f t="shared" si="2"/>
        <v>25</v>
      </c>
      <c r="B28" s="183" t="s">
        <v>394</v>
      </c>
      <c r="C28" s="183" t="s">
        <v>342</v>
      </c>
      <c r="D28" s="293" t="s">
        <v>842</v>
      </c>
      <c r="E28" s="293" t="s">
        <v>843</v>
      </c>
      <c r="F28" s="82">
        <v>46205</v>
      </c>
      <c r="G28" s="82">
        <v>46282</v>
      </c>
      <c r="H28" s="82">
        <v>46282</v>
      </c>
      <c r="I28" s="562">
        <v>46220</v>
      </c>
      <c r="J28" s="1054">
        <f t="shared" si="3"/>
        <v>168</v>
      </c>
      <c r="K28" s="183">
        <v>12</v>
      </c>
      <c r="L28" s="1054">
        <v>168</v>
      </c>
      <c r="M28" s="1054"/>
      <c r="N28" s="911" t="s">
        <v>878</v>
      </c>
      <c r="O28" s="911" t="s">
        <v>81</v>
      </c>
      <c r="P28" s="911" t="s">
        <v>767</v>
      </c>
      <c r="Q28" s="183" t="s">
        <v>857</v>
      </c>
      <c r="R28" s="279" t="str">
        <f t="shared" si="4"/>
        <v>/</v>
      </c>
      <c r="S28" s="279" t="s">
        <v>603</v>
      </c>
      <c r="T28" s="183" t="s">
        <v>629</v>
      </c>
      <c r="U28" s="183" t="s">
        <v>866</v>
      </c>
      <c r="V28" s="1079">
        <v>46282</v>
      </c>
      <c r="W28" s="222">
        <v>46287</v>
      </c>
      <c r="X28" s="222"/>
      <c r="Y28" s="279"/>
      <c r="Z28" s="178" t="s">
        <v>895</v>
      </c>
      <c r="AA28" s="159" t="s">
        <v>892</v>
      </c>
    </row>
    <row r="29" s="159" customFormat="1" ht="22.5" customHeight="1" spans="1:27">
      <c r="A29" s="1078">
        <f t="shared" si="2"/>
        <v>26</v>
      </c>
      <c r="B29" s="183"/>
      <c r="C29" s="183"/>
      <c r="D29" s="293"/>
      <c r="E29" s="293"/>
      <c r="F29" s="82"/>
      <c r="G29" s="82"/>
      <c r="H29" s="82"/>
      <c r="I29" s="562"/>
      <c r="J29" s="1054"/>
      <c r="K29" s="183"/>
      <c r="L29" s="1054"/>
      <c r="M29" s="1054"/>
      <c r="N29" s="911"/>
      <c r="O29" s="911"/>
      <c r="P29" s="911"/>
      <c r="Q29" s="183"/>
      <c r="R29" s="279"/>
      <c r="S29" s="279"/>
      <c r="T29" s="183"/>
      <c r="U29" s="183"/>
      <c r="V29" s="1079"/>
      <c r="W29" s="222"/>
      <c r="X29" s="222"/>
      <c r="Y29" s="279"/>
      <c r="Z29" s="178"/>
    </row>
    <row r="30" s="159" customFormat="1" ht="20.1" customHeight="1" spans="1:27">
      <c r="A30" s="1080" t="s">
        <v>896</v>
      </c>
      <c r="B30" s="1053"/>
      <c r="C30" s="1053"/>
      <c r="D30" s="1053"/>
      <c r="E30" s="1053"/>
      <c r="F30" s="1053"/>
      <c r="G30" s="1053"/>
      <c r="H30" s="1053"/>
      <c r="I30" s="1053"/>
      <c r="J30" s="1054">
        <f>SUM(J4:J29)</f>
        <v>1824</v>
      </c>
      <c r="K30" s="183"/>
      <c r="L30" s="1054">
        <f>SUM(L4:L29)</f>
        <v>1716</v>
      </c>
      <c r="M30" s="1054">
        <f>SUM(M4:M29)</f>
        <v>4692</v>
      </c>
      <c r="N30" s="183"/>
      <c r="O30" s="183"/>
      <c r="P30" s="183"/>
      <c r="Q30" s="183"/>
      <c r="R30" s="183"/>
      <c r="S30" s="183"/>
      <c r="T30" s="183"/>
      <c r="U30" s="183"/>
      <c r="V30" s="279"/>
      <c r="W30" s="279"/>
      <c r="X30" s="279"/>
      <c r="Y30" s="279"/>
      <c r="Z30" s="178"/>
    </row>
    <row r="31" s="295" customFormat="1" ht="15.95" customHeight="1" spans="1:27">
      <c r="A31" s="1081"/>
      <c r="B31" s="1082"/>
      <c r="C31" s="1082"/>
      <c r="D31" s="1082"/>
      <c r="E31" s="1082"/>
      <c r="F31" s="1082"/>
      <c r="G31" s="1082"/>
      <c r="H31" s="1082"/>
      <c r="I31" s="1061"/>
      <c r="J31" s="963"/>
      <c r="K31" s="963"/>
      <c r="L31" s="963">
        <f>612+2400</f>
        <v>3012</v>
      </c>
      <c r="M31" s="963">
        <f>1920+3000</f>
        <v>4920</v>
      </c>
      <c r="N31" s="963"/>
      <c r="O31" s="963"/>
      <c r="P31" s="963"/>
      <c r="Q31" s="963"/>
      <c r="R31" s="963"/>
      <c r="S31" s="963"/>
      <c r="T31" s="963"/>
      <c r="U31" s="963"/>
      <c r="V31" s="963"/>
      <c r="W31" s="963" t="s">
        <v>897</v>
      </c>
      <c r="X31" s="963"/>
      <c r="Y31" s="963"/>
      <c r="Z31" s="1083"/>
    </row>
    <row r="32" s="295" customFormat="1" ht="17.1" customHeight="1" spans="1:27">
      <c r="A32" s="1084" t="s">
        <v>67</v>
      </c>
      <c r="B32" s="1085"/>
      <c r="C32" s="1085"/>
      <c r="D32" s="1085"/>
      <c r="E32" s="1085"/>
      <c r="F32" s="1085"/>
      <c r="G32" s="1085"/>
      <c r="H32" s="1085"/>
      <c r="I32" s="1085"/>
      <c r="J32" s="1085"/>
      <c r="K32" s="1085"/>
      <c r="L32" s="1086">
        <f>L31-L30</f>
        <v>1296</v>
      </c>
      <c r="M32" s="1086">
        <f>M31-M30</f>
        <v>228</v>
      </c>
      <c r="N32" s="839"/>
      <c r="O32" s="839"/>
      <c r="P32" s="839"/>
      <c r="Q32" s="1087" t="s">
        <v>848</v>
      </c>
      <c r="R32" s="1088"/>
      <c r="S32" s="1088"/>
      <c r="T32" s="1089"/>
      <c r="U32" s="839"/>
      <c r="V32" s="839"/>
      <c r="W32" s="839"/>
      <c r="X32" s="839"/>
      <c r="Y32" s="839"/>
      <c r="Z32" s="1090"/>
    </row>
    <row r="33" spans="2:21">
      <c r="B33" s="110" t="s">
        <v>68</v>
      </c>
      <c r="C33" s="1065"/>
      <c r="D33" s="1066"/>
      <c r="E33" s="1066"/>
      <c r="F33" s="1066"/>
      <c r="G33" s="1066"/>
      <c r="H33" s="1066"/>
      <c r="I33" s="1066"/>
    </row>
    <row r="43" spans="2:21">
      <c r="U43" s="288" t="s">
        <v>898</v>
      </c>
    </row>
  </sheetData>
  <autoFilter xmlns:etc="http://www.wps.cn/officeDocument/2017/etCustomData" ref="A3:AA33" etc:filterBottomFollowUsedRange="0">
    <filterColumn colId="24">
      <filters blank="1"/>
    </filterColumn>
    <extLst/>
  </autoFilter>
  <mergeCells count="30">
    <mergeCell ref="A1:U1"/>
    <mergeCell ref="W1:X1"/>
    <mergeCell ref="Y1:Z1"/>
    <mergeCell ref="L2:M2"/>
    <mergeCell ref="N2:P2"/>
    <mergeCell ref="A30:I30"/>
    <mergeCell ref="A31:I31"/>
    <mergeCell ref="A32:K32"/>
    <mergeCell ref="Q32:T3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</mergeCells>
  <conditionalFormatting sqref="L32:M32">
    <cfRule type="cellIs" dxfId="0" priority="1" operator="lessThan">
      <formula>0</formula>
    </cfRule>
  </conditionalFormatting>
  <printOptions horizontalCentered="1"/>
  <pageMargins left="0.196527777777778" right="0.196527777777778" top="0.393055555555556" bottom="0.196527777777778" header="0.511805555555556" footer="0.511805555555556"/>
  <pageSetup paperSize="9" scale="65" firstPageNumber="4294967295" orientation="landscape" useFirstPageNumber="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indexed="50"/>
    <pageSetUpPr fitToPage="1"/>
  </sheetPr>
  <dimension ref="A1:Z36"/>
  <sheetViews>
    <sheetView zoomScaleSheetLayoutView="130" workbookViewId="0">
      <pane xSplit="11" ySplit="3" topLeftCell="L4" activePane="bottomRight" state="frozen"/>
      <selection/>
      <selection pane="topRight"/>
      <selection pane="bottomLeft"/>
      <selection pane="bottomRight" activeCell="I20" sqref="I20"/>
    </sheetView>
  </sheetViews>
  <sheetFormatPr defaultColWidth="9" defaultRowHeight="14.25"/>
  <cols>
    <col min="1" max="1" width="3.125" style="288" customWidth="1"/>
    <col min="2" max="2" width="9.875" style="288" customWidth="1"/>
    <col min="3" max="3" width="7.125" style="288" customWidth="1"/>
    <col min="4" max="4" width="12.625" style="288" customWidth="1"/>
    <col min="5" max="5" width="10.125" style="288" customWidth="1"/>
    <col min="6" max="8" width="7.375" style="288" customWidth="1"/>
    <col min="9" max="9" width="6.875" style="288" customWidth="1"/>
    <col min="10" max="10" width="7.125" style="288" customWidth="1"/>
    <col min="11" max="11" width="5.125" style="288" customWidth="1"/>
    <col min="12" max="12" width="5" style="288" customWidth="1"/>
    <col min="13" max="13" width="4.5" style="288" customWidth="1"/>
    <col min="14" max="14" width="8.375" style="288" customWidth="1"/>
    <col min="15" max="15" width="5.375" style="288" customWidth="1"/>
    <col min="16" max="16" width="5.5" style="288" customWidth="1"/>
    <col min="17" max="17" width="6.25" style="288" customWidth="1"/>
    <col min="18" max="18" width="5.875" style="288" customWidth="1"/>
    <col min="19" max="19" width="26.375" style="288" customWidth="1"/>
    <col min="20" max="20" width="8.375" style="288" customWidth="1"/>
    <col min="21" max="21" width="9.125" style="6" customWidth="1"/>
    <col min="22" max="22" width="11.5" style="6" customWidth="1"/>
    <col min="23" max="23" width="8.375" style="6" customWidth="1"/>
    <col min="24" max="24" width="14.625" style="1039" customWidth="1"/>
    <col min="25" max="25" width="17.125" style="6" customWidth="1"/>
    <col min="26" max="26" width="9" style="6" customWidth="1"/>
    <col min="27" max="251" width="9" style="288" customWidth="1"/>
    <col min="252" max="16384" width="9" style="288"/>
  </cols>
  <sheetData>
    <row r="1" ht="35.1" customHeight="1" spans="1:26">
      <c r="A1" s="1040" t="s">
        <v>899</v>
      </c>
      <c r="B1" s="1040"/>
      <c r="C1" s="1040"/>
      <c r="D1" s="1040"/>
      <c r="E1" s="1040"/>
      <c r="F1" s="1040"/>
      <c r="G1" s="1040"/>
      <c r="H1" s="1040"/>
      <c r="I1" s="1040"/>
      <c r="J1" s="1040"/>
      <c r="K1" s="1040"/>
      <c r="L1" s="1041"/>
      <c r="M1" s="1041"/>
      <c r="N1" s="1041"/>
      <c r="O1" s="1041"/>
      <c r="P1" s="1041"/>
      <c r="Q1" s="1041"/>
      <c r="R1" s="1041"/>
      <c r="S1" s="1041"/>
      <c r="T1" s="1040"/>
      <c r="U1" s="1042" t="s">
        <v>1</v>
      </c>
      <c r="V1" s="1042"/>
      <c r="W1" s="140">
        <f ca="1">TODAY()</f>
        <v>46277</v>
      </c>
      <c r="X1" s="1043"/>
    </row>
    <row r="2" s="190" customFormat="1" ht="21.95" customHeight="1" spans="1:26">
      <c r="A2" s="15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032" t="s">
        <v>180</v>
      </c>
      <c r="M2" s="19"/>
      <c r="N2" s="19"/>
      <c r="O2" s="21" t="s">
        <v>15</v>
      </c>
      <c r="P2" s="21" t="s">
        <v>181</v>
      </c>
      <c r="Q2" s="21" t="s">
        <v>900</v>
      </c>
      <c r="R2" s="21" t="s">
        <v>19</v>
      </c>
      <c r="S2" s="24" t="s">
        <v>21</v>
      </c>
      <c r="T2" s="19" t="s">
        <v>22</v>
      </c>
      <c r="U2" s="204" t="s">
        <v>23</v>
      </c>
      <c r="V2" s="204" t="s">
        <v>24</v>
      </c>
      <c r="W2" s="204" t="s">
        <v>25</v>
      </c>
      <c r="X2" s="842" t="s">
        <v>26</v>
      </c>
      <c r="Y2" s="206" t="s">
        <v>65</v>
      </c>
      <c r="Z2" s="206" t="s">
        <v>901</v>
      </c>
    </row>
    <row r="3" s="190" customFormat="1" ht="27" customHeight="1" spans="1:26">
      <c r="A3" s="15"/>
      <c r="B3" s="15"/>
      <c r="C3" s="15"/>
      <c r="D3" s="15"/>
      <c r="E3" s="29"/>
      <c r="F3" s="15"/>
      <c r="G3" s="15"/>
      <c r="H3" s="15"/>
      <c r="I3" s="15"/>
      <c r="J3" s="15"/>
      <c r="K3" s="15"/>
      <c r="L3" s="1044" t="s">
        <v>70</v>
      </c>
      <c r="M3" s="911" t="s">
        <v>187</v>
      </c>
      <c r="N3" s="911" t="s">
        <v>73</v>
      </c>
      <c r="O3" s="21"/>
      <c r="P3" s="21"/>
      <c r="Q3" s="21"/>
      <c r="R3" s="21"/>
      <c r="S3" s="24"/>
      <c r="T3" s="19"/>
      <c r="U3" s="204"/>
      <c r="V3" s="204"/>
      <c r="W3" s="204"/>
      <c r="X3" s="842"/>
      <c r="Y3" s="206"/>
      <c r="Z3" s="206"/>
    </row>
    <row r="4" s="159" customFormat="1" ht="26.25" hidden="1" customHeight="1" spans="1:26">
      <c r="A4" s="48">
        <f>ROW()-3</f>
        <v>1</v>
      </c>
      <c r="B4" s="48" t="s">
        <v>902</v>
      </c>
      <c r="C4" s="48" t="s">
        <v>296</v>
      </c>
      <c r="D4" s="48" t="s">
        <v>903</v>
      </c>
      <c r="E4" s="48"/>
      <c r="F4" s="614">
        <v>45923</v>
      </c>
      <c r="G4" s="56" t="s">
        <v>904</v>
      </c>
      <c r="H4" s="56" t="s">
        <v>904</v>
      </c>
      <c r="I4" s="614">
        <v>45923</v>
      </c>
      <c r="J4" s="48">
        <v>326</v>
      </c>
      <c r="K4" s="48">
        <v>2</v>
      </c>
      <c r="L4" s="704" t="s">
        <v>328</v>
      </c>
      <c r="M4" s="48" t="s">
        <v>81</v>
      </c>
      <c r="N4" s="48" t="s">
        <v>809</v>
      </c>
      <c r="O4" s="48" t="s">
        <v>81</v>
      </c>
      <c r="P4" s="305" t="s">
        <v>366</v>
      </c>
      <c r="Q4" s="48" t="s">
        <v>366</v>
      </c>
      <c r="R4" s="48" t="s">
        <v>905</v>
      </c>
      <c r="S4" s="48" t="s">
        <v>906</v>
      </c>
      <c r="T4" s="1045">
        <v>46027</v>
      </c>
      <c r="U4" s="211">
        <v>46028</v>
      </c>
      <c r="V4" s="317"/>
      <c r="W4" s="211">
        <v>46034</v>
      </c>
      <c r="X4" s="710" t="s">
        <v>907</v>
      </c>
      <c r="Y4" s="159" t="s">
        <v>908</v>
      </c>
    </row>
    <row r="5" s="159" customFormat="1" ht="38.1" hidden="1" customHeight="1" spans="1:26">
      <c r="A5" s="48">
        <f>ROW()-3</f>
        <v>2</v>
      </c>
      <c r="B5" s="48" t="s">
        <v>209</v>
      </c>
      <c r="C5" s="48" t="s">
        <v>909</v>
      </c>
      <c r="D5" s="48" t="s">
        <v>910</v>
      </c>
      <c r="E5" s="48" t="s">
        <v>911</v>
      </c>
      <c r="F5" s="614">
        <v>46007</v>
      </c>
      <c r="G5" s="56">
        <v>46059</v>
      </c>
      <c r="H5" s="56">
        <v>46059</v>
      </c>
      <c r="I5" s="614">
        <v>46008</v>
      </c>
      <c r="J5" s="48">
        <v>630</v>
      </c>
      <c r="K5" s="48">
        <v>1</v>
      </c>
      <c r="L5" s="704" t="s">
        <v>105</v>
      </c>
      <c r="M5" s="48" t="s">
        <v>81</v>
      </c>
      <c r="N5" s="48" t="s">
        <v>363</v>
      </c>
      <c r="O5" s="48" t="s">
        <v>81</v>
      </c>
      <c r="P5" s="48" t="s">
        <v>105</v>
      </c>
      <c r="Q5" s="48" t="s">
        <v>105</v>
      </c>
      <c r="R5" s="48" t="s">
        <v>912</v>
      </c>
      <c r="S5" s="48" t="s">
        <v>913</v>
      </c>
      <c r="T5" s="1045">
        <v>46057</v>
      </c>
      <c r="U5" s="211">
        <v>46056</v>
      </c>
      <c r="V5" s="621"/>
      <c r="W5" s="211">
        <v>46091</v>
      </c>
      <c r="X5" s="1286" t="s">
        <v>914</v>
      </c>
      <c r="Y5" s="159" t="s">
        <v>915</v>
      </c>
    </row>
    <row r="6" s="159" customFormat="1" ht="38.1" hidden="1" customHeight="1" spans="1:26">
      <c r="A6" s="48">
        <f>ROW()-3</f>
        <v>3</v>
      </c>
      <c r="B6" s="48" t="s">
        <v>209</v>
      </c>
      <c r="C6" s="48" t="s">
        <v>909</v>
      </c>
      <c r="D6" s="48" t="s">
        <v>916</v>
      </c>
      <c r="E6" s="48" t="s">
        <v>917</v>
      </c>
      <c r="F6" s="614">
        <v>46035</v>
      </c>
      <c r="G6" s="56">
        <v>46102</v>
      </c>
      <c r="H6" s="56">
        <v>46102</v>
      </c>
      <c r="I6" s="614">
        <v>46038</v>
      </c>
      <c r="J6" s="48">
        <v>573</v>
      </c>
      <c r="K6" s="48">
        <v>1</v>
      </c>
      <c r="L6" s="704" t="s">
        <v>918</v>
      </c>
      <c r="M6" s="48" t="s">
        <v>81</v>
      </c>
      <c r="N6" s="48" t="s">
        <v>363</v>
      </c>
      <c r="O6" s="48" t="s">
        <v>81</v>
      </c>
      <c r="P6" s="48" t="s">
        <v>919</v>
      </c>
      <c r="Q6" s="48" t="s">
        <v>920</v>
      </c>
      <c r="R6" s="48" t="s">
        <v>921</v>
      </c>
      <c r="S6" s="48" t="s">
        <v>913</v>
      </c>
      <c r="T6" s="1045">
        <v>46100</v>
      </c>
      <c r="U6" s="211">
        <v>46099</v>
      </c>
      <c r="V6" s="613"/>
      <c r="W6" s="211">
        <v>46106</v>
      </c>
      <c r="X6" s="1286" t="s">
        <v>922</v>
      </c>
      <c r="Y6" s="159" t="s">
        <v>915</v>
      </c>
    </row>
    <row r="7" s="159" customFormat="1" ht="38.1" hidden="1" customHeight="1" spans="1:26">
      <c r="A7" s="48">
        <f>ROW()-3</f>
        <v>4</v>
      </c>
      <c r="B7" s="48" t="s">
        <v>209</v>
      </c>
      <c r="C7" s="48" t="s">
        <v>909</v>
      </c>
      <c r="D7" s="48" t="s">
        <v>923</v>
      </c>
      <c r="E7" s="48" t="s">
        <v>924</v>
      </c>
      <c r="F7" s="52">
        <v>46044</v>
      </c>
      <c r="G7" s="52">
        <v>46124</v>
      </c>
      <c r="H7" s="52">
        <v>46124</v>
      </c>
      <c r="I7" s="614">
        <v>46052</v>
      </c>
      <c r="J7" s="48">
        <v>573</v>
      </c>
      <c r="K7" s="48">
        <v>1</v>
      </c>
      <c r="L7" s="704" t="s">
        <v>918</v>
      </c>
      <c r="M7" s="48" t="s">
        <v>81</v>
      </c>
      <c r="N7" s="48" t="s">
        <v>363</v>
      </c>
      <c r="O7" s="48" t="s">
        <v>81</v>
      </c>
      <c r="P7" s="48" t="s">
        <v>919</v>
      </c>
      <c r="Q7" s="48" t="s">
        <v>105</v>
      </c>
      <c r="R7" s="48" t="s">
        <v>730</v>
      </c>
      <c r="S7" s="48" t="s">
        <v>913</v>
      </c>
      <c r="T7" s="1045">
        <v>46122</v>
      </c>
      <c r="U7" s="211">
        <v>46121</v>
      </c>
      <c r="V7" s="632"/>
      <c r="W7" s="211">
        <v>46134</v>
      </c>
      <c r="X7" s="1286" t="s">
        <v>925</v>
      </c>
      <c r="Y7" s="159" t="s">
        <v>915</v>
      </c>
    </row>
    <row r="8" s="159" customFormat="1" ht="26.25" hidden="1" customHeight="1" spans="1:26">
      <c r="A8" s="48">
        <f t="shared" ref="A8:A17" si="0">ROW()-3</f>
        <v>5</v>
      </c>
      <c r="B8" s="48" t="s">
        <v>209</v>
      </c>
      <c r="C8" s="48" t="s">
        <v>909</v>
      </c>
      <c r="D8" s="48" t="s">
        <v>926</v>
      </c>
      <c r="E8" s="48" t="s">
        <v>927</v>
      </c>
      <c r="F8" s="614">
        <v>46154</v>
      </c>
      <c r="G8" s="56">
        <v>46219</v>
      </c>
      <c r="H8" s="56">
        <v>46219</v>
      </c>
      <c r="I8" s="614">
        <v>46177</v>
      </c>
      <c r="J8" s="309">
        <v>573</v>
      </c>
      <c r="K8" s="48">
        <v>1</v>
      </c>
      <c r="L8" s="704" t="s">
        <v>374</v>
      </c>
      <c r="M8" s="48" t="s">
        <v>81</v>
      </c>
      <c r="N8" s="48" t="s">
        <v>834</v>
      </c>
      <c r="O8" s="48" t="s">
        <v>81</v>
      </c>
      <c r="P8" s="48" t="s">
        <v>82</v>
      </c>
      <c r="Q8" s="48" t="s">
        <v>82</v>
      </c>
      <c r="R8" s="48" t="s">
        <v>561</v>
      </c>
      <c r="S8" s="48" t="s">
        <v>913</v>
      </c>
      <c r="T8" s="1046">
        <v>46219</v>
      </c>
      <c r="U8" s="211">
        <v>46219</v>
      </c>
      <c r="V8" s="317" t="s">
        <v>928</v>
      </c>
      <c r="W8" s="211">
        <v>46237</v>
      </c>
      <c r="X8" s="1287" t="s">
        <v>929</v>
      </c>
      <c r="Y8" s="159" t="s">
        <v>930</v>
      </c>
    </row>
    <row r="9" s="159" customFormat="1" ht="26.25" hidden="1" customHeight="1" spans="1:26">
      <c r="A9" s="48">
        <f t="shared" si="0"/>
        <v>6</v>
      </c>
      <c r="B9" s="48" t="s">
        <v>209</v>
      </c>
      <c r="C9" s="48" t="s">
        <v>909</v>
      </c>
      <c r="D9" s="48" t="s">
        <v>931</v>
      </c>
      <c r="E9" s="50" t="s">
        <v>932</v>
      </c>
      <c r="F9" s="614">
        <v>46154</v>
      </c>
      <c r="G9" s="56">
        <v>46233</v>
      </c>
      <c r="H9" s="56">
        <v>46233</v>
      </c>
      <c r="I9" s="614">
        <v>46177</v>
      </c>
      <c r="J9" s="309">
        <v>573</v>
      </c>
      <c r="K9" s="48">
        <v>1</v>
      </c>
      <c r="L9" s="704" t="s">
        <v>374</v>
      </c>
      <c r="M9" s="48" t="s">
        <v>81</v>
      </c>
      <c r="N9" s="48" t="s">
        <v>834</v>
      </c>
      <c r="O9" s="48" t="s">
        <v>81</v>
      </c>
      <c r="P9" s="48" t="s">
        <v>82</v>
      </c>
      <c r="Q9" s="48" t="s">
        <v>82</v>
      </c>
      <c r="R9" s="48" t="s">
        <v>933</v>
      </c>
      <c r="S9" s="48" t="s">
        <v>913</v>
      </c>
      <c r="T9" s="1046">
        <v>46233</v>
      </c>
      <c r="U9" s="211">
        <v>46232</v>
      </c>
      <c r="V9" s="211"/>
      <c r="W9" s="211">
        <v>46247</v>
      </c>
      <c r="X9" s="1287" t="s">
        <v>934</v>
      </c>
      <c r="Y9" s="159" t="s">
        <v>930</v>
      </c>
    </row>
    <row r="10" s="159" customFormat="1" ht="26.25" customHeight="1" spans="1:26">
      <c r="A10" s="48">
        <f t="shared" si="0"/>
        <v>7</v>
      </c>
      <c r="B10" s="48" t="s">
        <v>209</v>
      </c>
      <c r="C10" s="48" t="s">
        <v>909</v>
      </c>
      <c r="D10" s="48" t="s">
        <v>935</v>
      </c>
      <c r="E10" s="50" t="s">
        <v>936</v>
      </c>
      <c r="F10" s="614">
        <v>46154</v>
      </c>
      <c r="G10" s="56">
        <v>46233</v>
      </c>
      <c r="H10" s="56">
        <v>46233</v>
      </c>
      <c r="I10" s="614">
        <v>46177</v>
      </c>
      <c r="J10" s="309">
        <v>573</v>
      </c>
      <c r="K10" s="48">
        <v>1</v>
      </c>
      <c r="L10" s="704" t="s">
        <v>374</v>
      </c>
      <c r="M10" s="48" t="s">
        <v>81</v>
      </c>
      <c r="N10" s="48" t="s">
        <v>834</v>
      </c>
      <c r="O10" s="48" t="s">
        <v>81</v>
      </c>
      <c r="P10" s="48" t="s">
        <v>82</v>
      </c>
      <c r="Q10" s="48" t="s">
        <v>82</v>
      </c>
      <c r="R10" s="48" t="s">
        <v>933</v>
      </c>
      <c r="S10" s="48" t="s">
        <v>913</v>
      </c>
      <c r="T10" s="1046">
        <v>46233</v>
      </c>
      <c r="U10" s="211">
        <v>46232</v>
      </c>
      <c r="V10" s="211"/>
      <c r="W10" s="211"/>
      <c r="X10" s="1287" t="s">
        <v>937</v>
      </c>
      <c r="Y10" s="159" t="s">
        <v>930</v>
      </c>
    </row>
    <row r="11" s="159" customFormat="1" ht="26.25" customHeight="1" spans="1:26">
      <c r="A11" s="48">
        <f t="shared" si="0"/>
        <v>8</v>
      </c>
      <c r="B11" s="48" t="s">
        <v>209</v>
      </c>
      <c r="C11" s="48" t="s">
        <v>909</v>
      </c>
      <c r="D11" s="48" t="s">
        <v>938</v>
      </c>
      <c r="E11" s="50" t="s">
        <v>939</v>
      </c>
      <c r="F11" s="614">
        <v>46154</v>
      </c>
      <c r="G11" s="56">
        <v>46233</v>
      </c>
      <c r="H11" s="56">
        <v>46233</v>
      </c>
      <c r="I11" s="614">
        <v>46177</v>
      </c>
      <c r="J11" s="309">
        <v>573</v>
      </c>
      <c r="K11" s="48">
        <v>1</v>
      </c>
      <c r="L11" s="704" t="s">
        <v>940</v>
      </c>
      <c r="M11" s="48" t="s">
        <v>81</v>
      </c>
      <c r="N11" s="48" t="s">
        <v>834</v>
      </c>
      <c r="O11" s="48" t="s">
        <v>81</v>
      </c>
      <c r="P11" s="48" t="s">
        <v>941</v>
      </c>
      <c r="Q11" s="1047" t="s">
        <v>942</v>
      </c>
      <c r="R11" s="48" t="s">
        <v>582</v>
      </c>
      <c r="S11" s="48" t="s">
        <v>913</v>
      </c>
      <c r="T11" s="1046">
        <v>46233</v>
      </c>
      <c r="U11" s="211">
        <v>46232</v>
      </c>
      <c r="V11" s="211"/>
      <c r="W11" s="211"/>
      <c r="X11" s="1287" t="s">
        <v>943</v>
      </c>
      <c r="Y11" s="159" t="s">
        <v>930</v>
      </c>
    </row>
    <row r="12" s="159" customFormat="1" ht="26.25" customHeight="1" spans="1:26">
      <c r="A12" s="48">
        <f t="shared" si="0"/>
        <v>9</v>
      </c>
      <c r="B12" s="48" t="s">
        <v>209</v>
      </c>
      <c r="C12" s="48" t="s">
        <v>909</v>
      </c>
      <c r="D12" s="48" t="s">
        <v>944</v>
      </c>
      <c r="E12" s="48" t="s">
        <v>945</v>
      </c>
      <c r="F12" s="614">
        <v>46154</v>
      </c>
      <c r="G12" s="56">
        <v>46233</v>
      </c>
      <c r="H12" s="56">
        <v>46233</v>
      </c>
      <c r="I12" s="614">
        <v>46177</v>
      </c>
      <c r="J12" s="309">
        <v>573</v>
      </c>
      <c r="K12" s="48">
        <v>1</v>
      </c>
      <c r="L12" s="704" t="s">
        <v>946</v>
      </c>
      <c r="M12" s="48" t="s">
        <v>81</v>
      </c>
      <c r="N12" s="48" t="s">
        <v>834</v>
      </c>
      <c r="O12" s="48" t="s">
        <v>81</v>
      </c>
      <c r="P12" s="48" t="s">
        <v>561</v>
      </c>
      <c r="Q12" s="48" t="s">
        <v>946</v>
      </c>
      <c r="R12" s="48" t="s">
        <v>582</v>
      </c>
      <c r="S12" s="48" t="s">
        <v>913</v>
      </c>
      <c r="T12" s="1046">
        <v>46233</v>
      </c>
      <c r="U12" s="211">
        <v>46232</v>
      </c>
      <c r="V12" s="211"/>
      <c r="W12" s="211"/>
      <c r="X12" s="1287" t="s">
        <v>947</v>
      </c>
      <c r="Y12" s="159" t="s">
        <v>930</v>
      </c>
    </row>
    <row r="13" s="159" customFormat="1" ht="26.25" hidden="1" customHeight="1" spans="1:26">
      <c r="A13" s="48">
        <f t="shared" si="0"/>
        <v>10</v>
      </c>
      <c r="B13" s="48" t="s">
        <v>209</v>
      </c>
      <c r="C13" s="48" t="s">
        <v>909</v>
      </c>
      <c r="D13" s="48" t="s">
        <v>948</v>
      </c>
      <c r="E13" s="48" t="s">
        <v>949</v>
      </c>
      <c r="F13" s="614">
        <v>46154</v>
      </c>
      <c r="G13" s="56">
        <v>46233</v>
      </c>
      <c r="H13" s="56">
        <v>46233</v>
      </c>
      <c r="I13" s="614">
        <v>46177</v>
      </c>
      <c r="J13" s="309">
        <v>573</v>
      </c>
      <c r="K13" s="48">
        <v>1</v>
      </c>
      <c r="L13" s="704" t="s">
        <v>946</v>
      </c>
      <c r="M13" s="48" t="s">
        <v>81</v>
      </c>
      <c r="N13" s="48" t="s">
        <v>834</v>
      </c>
      <c r="O13" s="48" t="s">
        <v>81</v>
      </c>
      <c r="P13" s="48" t="s">
        <v>561</v>
      </c>
      <c r="Q13" s="48" t="s">
        <v>946</v>
      </c>
      <c r="R13" s="48" t="s">
        <v>582</v>
      </c>
      <c r="S13" s="48" t="s">
        <v>913</v>
      </c>
      <c r="T13" s="1046">
        <v>46233</v>
      </c>
      <c r="U13" s="211">
        <v>46232</v>
      </c>
      <c r="V13" s="211"/>
      <c r="W13" s="211">
        <v>46246</v>
      </c>
      <c r="X13" s="1287" t="s">
        <v>950</v>
      </c>
      <c r="Y13" s="159" t="s">
        <v>930</v>
      </c>
    </row>
    <row r="14" s="159" customFormat="1" ht="26.25" customHeight="1" spans="1:26">
      <c r="A14" s="48">
        <f t="shared" si="0"/>
        <v>11</v>
      </c>
      <c r="B14" s="48" t="s">
        <v>209</v>
      </c>
      <c r="C14" s="48" t="s">
        <v>909</v>
      </c>
      <c r="D14" s="48" t="s">
        <v>951</v>
      </c>
      <c r="E14" s="48" t="s">
        <v>952</v>
      </c>
      <c r="F14" s="614">
        <v>46154</v>
      </c>
      <c r="G14" s="56">
        <v>46241</v>
      </c>
      <c r="H14" s="56">
        <v>46241</v>
      </c>
      <c r="I14" s="614">
        <v>46177</v>
      </c>
      <c r="J14" s="309">
        <v>573</v>
      </c>
      <c r="K14" s="48">
        <v>1</v>
      </c>
      <c r="L14" s="704" t="s">
        <v>946</v>
      </c>
      <c r="M14" s="48" t="s">
        <v>81</v>
      </c>
      <c r="N14" s="48" t="s">
        <v>581</v>
      </c>
      <c r="O14" s="48" t="s">
        <v>81</v>
      </c>
      <c r="P14" s="48" t="s">
        <v>561</v>
      </c>
      <c r="Q14" s="48" t="s">
        <v>946</v>
      </c>
      <c r="R14" s="48" t="s">
        <v>375</v>
      </c>
      <c r="S14" s="48" t="s">
        <v>913</v>
      </c>
      <c r="T14" s="1046">
        <v>46241</v>
      </c>
      <c r="U14" s="211">
        <v>46240</v>
      </c>
      <c r="V14" s="211"/>
      <c r="W14" s="211"/>
      <c r="X14" s="1287" t="s">
        <v>953</v>
      </c>
      <c r="Y14" s="159" t="s">
        <v>930</v>
      </c>
    </row>
    <row r="15" s="159" customFormat="1" ht="26.25" customHeight="1" spans="1:26">
      <c r="A15" s="48">
        <f t="shared" si="0"/>
        <v>12</v>
      </c>
      <c r="B15" s="48" t="s">
        <v>209</v>
      </c>
      <c r="C15" s="48" t="s">
        <v>909</v>
      </c>
      <c r="D15" s="48" t="s">
        <v>954</v>
      </c>
      <c r="E15" s="48" t="s">
        <v>955</v>
      </c>
      <c r="F15" s="614">
        <v>46154</v>
      </c>
      <c r="G15" s="56">
        <v>46247</v>
      </c>
      <c r="H15" s="56">
        <v>46247</v>
      </c>
      <c r="I15" s="614">
        <v>46177</v>
      </c>
      <c r="J15" s="309">
        <v>573</v>
      </c>
      <c r="K15" s="48">
        <v>1</v>
      </c>
      <c r="L15" s="704" t="s">
        <v>946</v>
      </c>
      <c r="M15" s="48" t="s">
        <v>81</v>
      </c>
      <c r="N15" s="48" t="s">
        <v>581</v>
      </c>
      <c r="O15" s="48" t="s">
        <v>81</v>
      </c>
      <c r="P15" s="48" t="s">
        <v>561</v>
      </c>
      <c r="Q15" s="48" t="s">
        <v>946</v>
      </c>
      <c r="R15" s="48" t="s">
        <v>375</v>
      </c>
      <c r="S15" s="48" t="s">
        <v>913</v>
      </c>
      <c r="T15" s="1046">
        <v>46247</v>
      </c>
      <c r="U15" s="211">
        <v>46251</v>
      </c>
      <c r="V15" s="211"/>
      <c r="W15" s="211"/>
      <c r="X15" s="1287" t="s">
        <v>956</v>
      </c>
      <c r="Y15" s="159" t="s">
        <v>930</v>
      </c>
    </row>
    <row r="16" s="159" customFormat="1" ht="26.25" hidden="1" customHeight="1" spans="1:26">
      <c r="A16" s="48">
        <f t="shared" si="0"/>
        <v>13</v>
      </c>
      <c r="B16" s="48" t="s">
        <v>209</v>
      </c>
      <c r="C16" s="48" t="s">
        <v>909</v>
      </c>
      <c r="D16" s="48" t="s">
        <v>957</v>
      </c>
      <c r="E16" s="48" t="s">
        <v>958</v>
      </c>
      <c r="F16" s="614">
        <v>46154</v>
      </c>
      <c r="G16" s="56">
        <v>46247</v>
      </c>
      <c r="H16" s="56">
        <v>46247</v>
      </c>
      <c r="I16" s="614">
        <v>46177</v>
      </c>
      <c r="J16" s="309">
        <v>573</v>
      </c>
      <c r="K16" s="48">
        <v>1</v>
      </c>
      <c r="L16" s="704" t="s">
        <v>946</v>
      </c>
      <c r="M16" s="48" t="s">
        <v>81</v>
      </c>
      <c r="N16" s="48" t="s">
        <v>581</v>
      </c>
      <c r="O16" s="48" t="s">
        <v>81</v>
      </c>
      <c r="P16" s="48" t="s">
        <v>561</v>
      </c>
      <c r="Q16" s="48" t="s">
        <v>946</v>
      </c>
      <c r="R16" s="48" t="s">
        <v>375</v>
      </c>
      <c r="S16" s="48" t="s">
        <v>913</v>
      </c>
      <c r="T16" s="1046">
        <v>46247</v>
      </c>
      <c r="U16" s="211">
        <v>46251</v>
      </c>
      <c r="V16" s="211"/>
      <c r="W16" s="211">
        <v>46266</v>
      </c>
      <c r="X16" s="1287" t="s">
        <v>959</v>
      </c>
      <c r="Y16" s="159" t="s">
        <v>930</v>
      </c>
    </row>
    <row r="17" s="159" customFormat="1" ht="26.25" customHeight="1" spans="1:26">
      <c r="A17" s="48">
        <f t="shared" si="0"/>
        <v>14</v>
      </c>
      <c r="B17" s="48" t="s">
        <v>209</v>
      </c>
      <c r="C17" s="48" t="s">
        <v>909</v>
      </c>
      <c r="D17" s="48" t="s">
        <v>960</v>
      </c>
      <c r="E17" s="48" t="s">
        <v>961</v>
      </c>
      <c r="F17" s="614">
        <v>46154</v>
      </c>
      <c r="G17" s="56">
        <v>46247</v>
      </c>
      <c r="H17" s="56">
        <v>46247</v>
      </c>
      <c r="I17" s="614">
        <v>46177</v>
      </c>
      <c r="J17" s="309">
        <v>573</v>
      </c>
      <c r="K17" s="48">
        <v>1</v>
      </c>
      <c r="L17" s="704" t="s">
        <v>946</v>
      </c>
      <c r="M17" s="48" t="s">
        <v>81</v>
      </c>
      <c r="N17" s="48" t="s">
        <v>581</v>
      </c>
      <c r="O17" s="48" t="s">
        <v>81</v>
      </c>
      <c r="P17" s="48" t="s">
        <v>561</v>
      </c>
      <c r="Q17" s="48" t="s">
        <v>946</v>
      </c>
      <c r="R17" s="48" t="s">
        <v>375</v>
      </c>
      <c r="S17" s="48" t="s">
        <v>913</v>
      </c>
      <c r="T17" s="1046">
        <v>46247</v>
      </c>
      <c r="U17" s="211">
        <v>46251</v>
      </c>
      <c r="V17" s="211"/>
      <c r="W17" s="211"/>
      <c r="X17" s="1287" t="s">
        <v>962</v>
      </c>
      <c r="Y17" s="159" t="s">
        <v>930</v>
      </c>
    </row>
    <row r="18" s="159" customFormat="1" ht="26.25" hidden="1" customHeight="1" spans="1:26">
      <c r="A18" s="48">
        <f t="shared" ref="A18:A28" si="1">ROW()-3</f>
        <v>15</v>
      </c>
      <c r="B18" s="48" t="s">
        <v>209</v>
      </c>
      <c r="C18" s="48" t="s">
        <v>909</v>
      </c>
      <c r="D18" s="48" t="s">
        <v>963</v>
      </c>
      <c r="E18" s="48" t="s">
        <v>964</v>
      </c>
      <c r="F18" s="614">
        <v>46154</v>
      </c>
      <c r="G18" s="56">
        <v>46247</v>
      </c>
      <c r="H18" s="56">
        <v>46247</v>
      </c>
      <c r="I18" s="614">
        <v>46177</v>
      </c>
      <c r="J18" s="309">
        <v>573</v>
      </c>
      <c r="K18" s="48">
        <v>1</v>
      </c>
      <c r="L18" s="704" t="s">
        <v>946</v>
      </c>
      <c r="M18" s="48" t="s">
        <v>81</v>
      </c>
      <c r="N18" s="48" t="s">
        <v>581</v>
      </c>
      <c r="O18" s="48" t="s">
        <v>81</v>
      </c>
      <c r="P18" s="48" t="s">
        <v>561</v>
      </c>
      <c r="Q18" s="48" t="s">
        <v>946</v>
      </c>
      <c r="R18" s="48" t="s">
        <v>375</v>
      </c>
      <c r="S18" s="48" t="s">
        <v>913</v>
      </c>
      <c r="T18" s="1046">
        <v>46247</v>
      </c>
      <c r="U18" s="211">
        <v>46251</v>
      </c>
      <c r="V18" s="211"/>
      <c r="W18" s="211">
        <v>46275</v>
      </c>
      <c r="X18" s="1287" t="s">
        <v>965</v>
      </c>
      <c r="Y18" s="159" t="s">
        <v>930</v>
      </c>
    </row>
    <row r="19" s="159" customFormat="1" ht="26.25" customHeight="1" spans="1:26">
      <c r="A19" s="48">
        <f t="shared" si="1"/>
        <v>16</v>
      </c>
      <c r="B19" s="48" t="s">
        <v>209</v>
      </c>
      <c r="C19" s="48" t="s">
        <v>909</v>
      </c>
      <c r="D19" s="48" t="s">
        <v>966</v>
      </c>
      <c r="E19" s="48" t="s">
        <v>967</v>
      </c>
      <c r="F19" s="614">
        <v>46154</v>
      </c>
      <c r="G19" s="56">
        <v>46247</v>
      </c>
      <c r="H19" s="56">
        <v>46247</v>
      </c>
      <c r="I19" s="614">
        <v>46177</v>
      </c>
      <c r="J19" s="309">
        <v>573</v>
      </c>
      <c r="K19" s="48">
        <v>1</v>
      </c>
      <c r="L19" s="704" t="s">
        <v>946</v>
      </c>
      <c r="M19" s="48" t="s">
        <v>81</v>
      </c>
      <c r="N19" s="48" t="s">
        <v>581</v>
      </c>
      <c r="O19" s="48" t="s">
        <v>81</v>
      </c>
      <c r="P19" s="48" t="s">
        <v>561</v>
      </c>
      <c r="Q19" s="48" t="s">
        <v>946</v>
      </c>
      <c r="R19" s="48" t="s">
        <v>375</v>
      </c>
      <c r="S19" s="48" t="s">
        <v>913</v>
      </c>
      <c r="T19" s="1046">
        <v>46247</v>
      </c>
      <c r="U19" s="211">
        <v>46251</v>
      </c>
      <c r="V19" s="211"/>
      <c r="W19" s="211"/>
      <c r="X19" s="1287" t="s">
        <v>968</v>
      </c>
      <c r="Y19" s="159" t="s">
        <v>930</v>
      </c>
    </row>
    <row r="20" s="159" customFormat="1" ht="26.25" customHeight="1" spans="1:26">
      <c r="A20" s="48">
        <f t="shared" si="1"/>
        <v>17</v>
      </c>
      <c r="B20" s="48" t="s">
        <v>209</v>
      </c>
      <c r="C20" s="48" t="s">
        <v>909</v>
      </c>
      <c r="D20" s="48" t="s">
        <v>969</v>
      </c>
      <c r="E20" s="48" t="s">
        <v>970</v>
      </c>
      <c r="F20" s="614">
        <v>46154</v>
      </c>
      <c r="G20" s="56">
        <v>46254</v>
      </c>
      <c r="H20" s="56">
        <v>46254</v>
      </c>
      <c r="I20" s="614">
        <v>46177</v>
      </c>
      <c r="J20" s="309">
        <v>573</v>
      </c>
      <c r="K20" s="48">
        <v>1</v>
      </c>
      <c r="L20" s="704" t="s">
        <v>946</v>
      </c>
      <c r="M20" s="48" t="s">
        <v>81</v>
      </c>
      <c r="N20" s="48" t="s">
        <v>581</v>
      </c>
      <c r="O20" s="48" t="s">
        <v>81</v>
      </c>
      <c r="P20" s="48" t="s">
        <v>561</v>
      </c>
      <c r="Q20" s="48" t="s">
        <v>946</v>
      </c>
      <c r="R20" s="48" t="s">
        <v>375</v>
      </c>
      <c r="S20" s="48" t="s">
        <v>913</v>
      </c>
      <c r="T20" s="1046">
        <v>46254</v>
      </c>
      <c r="U20" s="211">
        <v>46254</v>
      </c>
      <c r="V20" s="211"/>
      <c r="W20" s="211"/>
      <c r="X20" s="1287" t="s">
        <v>971</v>
      </c>
      <c r="Y20" s="159" t="s">
        <v>930</v>
      </c>
    </row>
    <row r="21" s="159" customFormat="1" ht="26.25" hidden="1" customHeight="1" spans="1:26">
      <c r="A21" s="48">
        <f t="shared" si="1"/>
        <v>18</v>
      </c>
      <c r="B21" s="48" t="s">
        <v>209</v>
      </c>
      <c r="C21" s="48" t="s">
        <v>909</v>
      </c>
      <c r="D21" s="48" t="s">
        <v>972</v>
      </c>
      <c r="E21" s="48" t="s">
        <v>973</v>
      </c>
      <c r="F21" s="614">
        <v>46154</v>
      </c>
      <c r="G21" s="56">
        <v>46254</v>
      </c>
      <c r="H21" s="56">
        <v>46254</v>
      </c>
      <c r="I21" s="614">
        <v>46177</v>
      </c>
      <c r="J21" s="309">
        <v>573</v>
      </c>
      <c r="K21" s="48">
        <v>1</v>
      </c>
      <c r="L21" s="704" t="s">
        <v>946</v>
      </c>
      <c r="M21" s="48" t="s">
        <v>81</v>
      </c>
      <c r="N21" s="48" t="s">
        <v>581</v>
      </c>
      <c r="O21" s="48" t="s">
        <v>81</v>
      </c>
      <c r="P21" s="48" t="s">
        <v>561</v>
      </c>
      <c r="Q21" s="48" t="s">
        <v>946</v>
      </c>
      <c r="R21" s="48" t="s">
        <v>375</v>
      </c>
      <c r="S21" s="48" t="s">
        <v>913</v>
      </c>
      <c r="T21" s="1046">
        <v>46254</v>
      </c>
      <c r="U21" s="211">
        <v>46254</v>
      </c>
      <c r="V21" s="211"/>
      <c r="W21" s="211">
        <v>46277</v>
      </c>
      <c r="X21" s="1287" t="s">
        <v>974</v>
      </c>
      <c r="Y21" s="159" t="s">
        <v>930</v>
      </c>
    </row>
    <row r="22" s="159" customFormat="1" ht="26.25" hidden="1" customHeight="1" spans="1:26">
      <c r="A22" s="48">
        <f t="shared" si="1"/>
        <v>19</v>
      </c>
      <c r="B22" s="48" t="s">
        <v>209</v>
      </c>
      <c r="C22" s="48" t="s">
        <v>909</v>
      </c>
      <c r="D22" s="48" t="s">
        <v>975</v>
      </c>
      <c r="E22" s="48" t="s">
        <v>976</v>
      </c>
      <c r="F22" s="614">
        <v>46154</v>
      </c>
      <c r="G22" s="56">
        <v>46254</v>
      </c>
      <c r="H22" s="56">
        <v>46254</v>
      </c>
      <c r="I22" s="614">
        <v>46177</v>
      </c>
      <c r="J22" s="309">
        <v>573</v>
      </c>
      <c r="K22" s="48">
        <v>1</v>
      </c>
      <c r="L22" s="704" t="s">
        <v>946</v>
      </c>
      <c r="M22" s="48" t="s">
        <v>81</v>
      </c>
      <c r="N22" s="48" t="s">
        <v>581</v>
      </c>
      <c r="O22" s="48" t="s">
        <v>81</v>
      </c>
      <c r="P22" s="48" t="s">
        <v>561</v>
      </c>
      <c r="Q22" s="48" t="s">
        <v>946</v>
      </c>
      <c r="R22" s="48" t="s">
        <v>375</v>
      </c>
      <c r="S22" s="48" t="s">
        <v>913</v>
      </c>
      <c r="T22" s="1046">
        <v>46254</v>
      </c>
      <c r="U22" s="211">
        <v>46254</v>
      </c>
      <c r="V22" s="211"/>
      <c r="W22" s="211">
        <v>46277</v>
      </c>
      <c r="X22" s="1287" t="s">
        <v>977</v>
      </c>
      <c r="Y22" s="159" t="s">
        <v>930</v>
      </c>
    </row>
    <row r="23" s="159" customFormat="1" ht="26.25" customHeight="1" spans="1:26">
      <c r="A23" s="48">
        <f t="shared" si="1"/>
        <v>20</v>
      </c>
      <c r="B23" s="48" t="s">
        <v>209</v>
      </c>
      <c r="C23" s="48" t="s">
        <v>909</v>
      </c>
      <c r="D23" s="48" t="s">
        <v>978</v>
      </c>
      <c r="E23" s="48" t="s">
        <v>979</v>
      </c>
      <c r="F23" s="614">
        <v>46154</v>
      </c>
      <c r="G23" s="56">
        <v>46254</v>
      </c>
      <c r="H23" s="56">
        <v>46254</v>
      </c>
      <c r="I23" s="614">
        <v>46177</v>
      </c>
      <c r="J23" s="309">
        <v>573</v>
      </c>
      <c r="K23" s="48">
        <v>1</v>
      </c>
      <c r="L23" s="704" t="s">
        <v>946</v>
      </c>
      <c r="M23" s="48" t="s">
        <v>81</v>
      </c>
      <c r="N23" s="48" t="s">
        <v>581</v>
      </c>
      <c r="O23" s="48" t="s">
        <v>81</v>
      </c>
      <c r="P23" s="48" t="s">
        <v>561</v>
      </c>
      <c r="Q23" s="48" t="s">
        <v>946</v>
      </c>
      <c r="R23" s="48" t="s">
        <v>375</v>
      </c>
      <c r="S23" s="48" t="s">
        <v>913</v>
      </c>
      <c r="T23" s="1046">
        <v>46254</v>
      </c>
      <c r="U23" s="211">
        <v>46254</v>
      </c>
      <c r="V23" s="211"/>
      <c r="W23" s="211"/>
      <c r="X23" s="1287" t="s">
        <v>980</v>
      </c>
      <c r="Y23" s="159" t="s">
        <v>930</v>
      </c>
    </row>
    <row r="24" s="159" customFormat="1" ht="26.25" customHeight="1" spans="1:26">
      <c r="A24" s="48">
        <f t="shared" si="1"/>
        <v>21</v>
      </c>
      <c r="B24" s="48" t="s">
        <v>209</v>
      </c>
      <c r="C24" s="48" t="s">
        <v>909</v>
      </c>
      <c r="D24" s="48" t="s">
        <v>981</v>
      </c>
      <c r="E24" s="48" t="s">
        <v>982</v>
      </c>
      <c r="F24" s="614">
        <v>46154</v>
      </c>
      <c r="G24" s="56">
        <v>46254</v>
      </c>
      <c r="H24" s="56">
        <v>46254</v>
      </c>
      <c r="I24" s="614">
        <v>46177</v>
      </c>
      <c r="J24" s="309">
        <v>573</v>
      </c>
      <c r="K24" s="48">
        <v>1</v>
      </c>
      <c r="L24" s="704" t="s">
        <v>946</v>
      </c>
      <c r="M24" s="48" t="s">
        <v>81</v>
      </c>
      <c r="N24" s="48" t="s">
        <v>581</v>
      </c>
      <c r="O24" s="48" t="s">
        <v>81</v>
      </c>
      <c r="P24" s="48" t="s">
        <v>561</v>
      </c>
      <c r="Q24" s="48" t="s">
        <v>946</v>
      </c>
      <c r="R24" s="48" t="s">
        <v>375</v>
      </c>
      <c r="S24" s="48" t="s">
        <v>913</v>
      </c>
      <c r="T24" s="1046">
        <v>46254</v>
      </c>
      <c r="U24" s="211">
        <v>46254</v>
      </c>
      <c r="V24" s="211"/>
      <c r="W24" s="211"/>
      <c r="X24" s="1287" t="s">
        <v>983</v>
      </c>
      <c r="Y24" s="159" t="s">
        <v>930</v>
      </c>
    </row>
    <row r="25" s="159" customFormat="1" ht="26.25" customHeight="1" spans="1:26">
      <c r="A25" s="48">
        <f t="shared" si="1"/>
        <v>22</v>
      </c>
      <c r="B25" s="48" t="s">
        <v>209</v>
      </c>
      <c r="C25" s="48" t="s">
        <v>909</v>
      </c>
      <c r="D25" s="48" t="s">
        <v>984</v>
      </c>
      <c r="E25" s="48" t="s">
        <v>985</v>
      </c>
      <c r="F25" s="614">
        <v>46170</v>
      </c>
      <c r="G25" s="56">
        <v>46266</v>
      </c>
      <c r="H25" s="56">
        <v>46266</v>
      </c>
      <c r="I25" s="614">
        <v>46196</v>
      </c>
      <c r="J25" s="309">
        <v>573</v>
      </c>
      <c r="K25" s="48">
        <v>1</v>
      </c>
      <c r="L25" s="704" t="s">
        <v>986</v>
      </c>
      <c r="M25" s="48" t="s">
        <v>81</v>
      </c>
      <c r="N25" s="48" t="s">
        <v>373</v>
      </c>
      <c r="O25" s="48" t="s">
        <v>81</v>
      </c>
      <c r="P25" s="48" t="s">
        <v>616</v>
      </c>
      <c r="Q25" s="48" t="s">
        <v>987</v>
      </c>
      <c r="R25" s="48" t="s">
        <v>616</v>
      </c>
      <c r="S25" s="48" t="s">
        <v>913</v>
      </c>
      <c r="T25" s="1046">
        <v>46266</v>
      </c>
      <c r="U25" s="211">
        <v>46267</v>
      </c>
      <c r="V25" s="211"/>
      <c r="W25" s="211"/>
      <c r="X25" s="309">
        <v>1003448839</v>
      </c>
      <c r="Y25" s="159" t="s">
        <v>930</v>
      </c>
    </row>
    <row r="26" s="159" customFormat="1" ht="26.25" customHeight="1" spans="1:26">
      <c r="A26" s="48">
        <f t="shared" si="1"/>
        <v>23</v>
      </c>
      <c r="B26" s="48" t="s">
        <v>209</v>
      </c>
      <c r="C26" s="48" t="s">
        <v>909</v>
      </c>
      <c r="D26" s="48" t="s">
        <v>988</v>
      </c>
      <c r="E26" s="48" t="s">
        <v>989</v>
      </c>
      <c r="F26" s="614">
        <v>46170</v>
      </c>
      <c r="G26" s="56">
        <v>46269</v>
      </c>
      <c r="H26" s="56">
        <v>46269</v>
      </c>
      <c r="I26" s="614">
        <v>46196</v>
      </c>
      <c r="J26" s="309">
        <v>573</v>
      </c>
      <c r="K26" s="48">
        <v>1</v>
      </c>
      <c r="L26" s="704" t="s">
        <v>986</v>
      </c>
      <c r="M26" s="48" t="s">
        <v>81</v>
      </c>
      <c r="N26" s="48" t="s">
        <v>373</v>
      </c>
      <c r="O26" s="48" t="s">
        <v>81</v>
      </c>
      <c r="P26" s="48" t="s">
        <v>616</v>
      </c>
      <c r="Q26" s="48" t="s">
        <v>987</v>
      </c>
      <c r="R26" s="48" t="s">
        <v>616</v>
      </c>
      <c r="S26" s="48" t="s">
        <v>913</v>
      </c>
      <c r="T26" s="1046">
        <v>46269</v>
      </c>
      <c r="U26" s="211">
        <v>46275</v>
      </c>
      <c r="V26" s="211"/>
      <c r="W26" s="211"/>
      <c r="X26" s="309">
        <v>1003449501</v>
      </c>
      <c r="Y26" s="159" t="s">
        <v>930</v>
      </c>
    </row>
    <row r="27" s="159" customFormat="1" ht="26.25" customHeight="1" spans="1:26">
      <c r="A27" s="183">
        <f t="shared" si="1"/>
        <v>24</v>
      </c>
      <c r="B27" s="183"/>
      <c r="C27" s="183"/>
      <c r="D27" s="183" t="s">
        <v>990</v>
      </c>
      <c r="E27" s="183" t="s">
        <v>991</v>
      </c>
      <c r="F27" s="562"/>
      <c r="G27" s="82"/>
      <c r="H27" s="82"/>
      <c r="I27" s="562"/>
      <c r="J27" s="1048">
        <v>32</v>
      </c>
      <c r="K27" s="183"/>
      <c r="L27" s="1049"/>
      <c r="M27" s="492"/>
      <c r="N27" s="492"/>
      <c r="O27" s="183"/>
      <c r="P27" s="183"/>
      <c r="Q27" s="183"/>
      <c r="R27" s="183"/>
      <c r="S27" s="183"/>
      <c r="T27" s="1050"/>
      <c r="U27" s="279"/>
      <c r="V27" s="279"/>
      <c r="W27" s="279"/>
      <c r="X27" s="1051"/>
      <c r="Z27" s="159" t="s">
        <v>992</v>
      </c>
    </row>
    <row r="28" s="159" customFormat="1" ht="26.25" customHeight="1" spans="1:26">
      <c r="A28" s="183">
        <f t="shared" si="1"/>
        <v>25</v>
      </c>
      <c r="B28" s="183"/>
      <c r="C28" s="183"/>
      <c r="D28" s="183"/>
      <c r="E28" s="183"/>
      <c r="F28" s="562"/>
      <c r="G28" s="82"/>
      <c r="H28" s="82"/>
      <c r="I28" s="562"/>
      <c r="J28" s="183"/>
      <c r="K28" s="183"/>
      <c r="L28" s="1049"/>
      <c r="M28" s="492"/>
      <c r="N28" s="492"/>
      <c r="O28" s="183"/>
      <c r="P28" s="183"/>
      <c r="Q28" s="183"/>
      <c r="R28" s="183"/>
      <c r="S28" s="183"/>
      <c r="T28" s="1052"/>
      <c r="U28" s="279"/>
      <c r="V28" s="279"/>
      <c r="W28" s="279"/>
      <c r="X28" s="755"/>
    </row>
    <row r="29" s="159" customFormat="1" ht="21" customHeight="1" spans="1:26">
      <c r="A29" s="1053" t="s">
        <v>993</v>
      </c>
      <c r="B29" s="1053"/>
      <c r="C29" s="1053"/>
      <c r="D29" s="1053"/>
      <c r="E29" s="1053"/>
      <c r="F29" s="1053"/>
      <c r="G29" s="1053"/>
      <c r="H29" s="1053"/>
      <c r="I29" s="1053"/>
      <c r="J29" s="1054">
        <f>SUM(J4:J28)</f>
        <v>13021</v>
      </c>
      <c r="K29" s="183"/>
      <c r="L29" s="1055"/>
      <c r="M29" s="183"/>
      <c r="N29" s="183"/>
      <c r="O29" s="183"/>
      <c r="P29" s="183"/>
      <c r="Q29" s="183"/>
      <c r="R29" s="183"/>
      <c r="S29" s="183"/>
      <c r="T29" s="279"/>
      <c r="U29" s="279"/>
      <c r="V29" s="279"/>
      <c r="W29" s="279"/>
      <c r="X29" s="755"/>
    </row>
    <row r="30" s="295" customFormat="1" ht="18" customHeight="1" spans="1:26">
      <c r="A30" s="1056"/>
      <c r="B30" s="1057"/>
      <c r="C30" s="1057"/>
      <c r="D30" s="1057"/>
      <c r="E30" s="1057"/>
      <c r="F30" s="1057"/>
      <c r="G30" s="1057"/>
      <c r="H30" s="1057"/>
      <c r="I30" s="1058"/>
      <c r="J30" s="1059">
        <f>4039+7804+1146+32</f>
        <v>13021</v>
      </c>
      <c r="K30" s="1060"/>
      <c r="L30" s="1061"/>
      <c r="M30" s="963"/>
      <c r="N30" s="963"/>
      <c r="O30" s="183"/>
      <c r="P30" s="963"/>
      <c r="Q30" s="963"/>
      <c r="R30" s="963"/>
      <c r="S30" s="963"/>
      <c r="T30" s="963"/>
      <c r="U30" s="963"/>
      <c r="V30" s="963"/>
      <c r="W30" s="963"/>
      <c r="X30" s="1062"/>
    </row>
    <row r="31" s="295" customFormat="1" ht="20.25" customHeight="1" spans="1:26">
      <c r="A31" s="1063" t="s">
        <v>67</v>
      </c>
      <c r="B31" s="1063"/>
      <c r="C31" s="1063"/>
      <c r="D31" s="1063"/>
      <c r="E31" s="1063"/>
      <c r="F31" s="1063"/>
      <c r="G31" s="1063"/>
      <c r="H31" s="1063"/>
      <c r="I31" s="1063"/>
      <c r="J31" s="1064">
        <f>J30-J29</f>
        <v>0</v>
      </c>
      <c r="K31" s="1060"/>
      <c r="L31" s="1061"/>
      <c r="M31" s="963"/>
      <c r="N31" s="963"/>
      <c r="O31" s="963"/>
      <c r="P31" s="963"/>
      <c r="Q31" s="963"/>
      <c r="R31" s="963"/>
      <c r="S31" s="963"/>
      <c r="T31" s="963"/>
      <c r="U31" s="963"/>
      <c r="V31" s="963"/>
      <c r="W31" s="963"/>
      <c r="X31" s="1062"/>
    </row>
    <row r="32" spans="1:26">
      <c r="B32" s="110" t="s">
        <v>68</v>
      </c>
      <c r="C32" s="1065"/>
      <c r="D32" s="1066"/>
      <c r="E32" s="1066"/>
      <c r="F32" s="1066"/>
      <c r="G32" s="1066"/>
      <c r="H32" s="1066"/>
      <c r="I32" s="1066"/>
    </row>
    <row r="34" spans="8:16">
      <c r="H34" s="1067"/>
      <c r="I34" s="1067"/>
      <c r="J34" s="1068"/>
      <c r="K34" s="1068"/>
      <c r="L34" s="1068"/>
      <c r="M34" s="1068"/>
      <c r="N34" s="1068"/>
      <c r="O34" s="1068"/>
      <c r="P34" s="1068"/>
    </row>
    <row r="35" spans="8:16">
      <c r="H35" s="1067"/>
      <c r="I35" s="1067"/>
      <c r="J35" s="1068"/>
      <c r="K35" s="1068"/>
      <c r="L35" s="1068"/>
      <c r="M35" s="1068"/>
      <c r="N35" s="1068"/>
      <c r="O35" s="1068"/>
      <c r="P35" s="1068"/>
    </row>
    <row r="36" spans="8:16">
      <c r="H36" s="1067"/>
      <c r="I36" s="1067"/>
      <c r="P36" s="1069"/>
    </row>
  </sheetData>
  <autoFilter xmlns:etc="http://www.wps.cn/officeDocument/2017/etCustomData" ref="A3:Z32" etc:filterBottomFollowUsedRange="0">
    <filterColumn colId="22">
      <filters blank="1"/>
    </filterColumn>
    <extLst/>
  </autoFilter>
  <mergeCells count="31">
    <mergeCell ref="A1:T1"/>
    <mergeCell ref="U1:V1"/>
    <mergeCell ref="W1:X1"/>
    <mergeCell ref="L2:N2"/>
    <mergeCell ref="A29:I29"/>
    <mergeCell ref="A30:I30"/>
    <mergeCell ref="A31:I31"/>
    <mergeCell ref="H34:I34"/>
    <mergeCell ref="H35:I35"/>
    <mergeCell ref="H36:I36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</mergeCells>
  <printOptions horizontalCentered="1"/>
  <pageMargins left="0.196527777777778" right="0.196527777777778" top="0.393055555555556" bottom="0.196527777777778" header="0.511805555555556" footer="0.511805555555556"/>
  <pageSetup paperSize="9" scale="66" firstPageNumber="4294967295" orientation="landscape" useFirstPageNumber="1"/>
  <headerFooter alignWithMargins="0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Z35"/>
  <sheetViews>
    <sheetView workbookViewId="0">
      <pane xSplit="10" ySplit="3" topLeftCell="K4" activePane="bottomRight" state="frozen"/>
      <selection/>
      <selection pane="topRight"/>
      <selection pane="bottomLeft"/>
      <selection pane="bottomRight" activeCell="S42" sqref="S42"/>
    </sheetView>
  </sheetViews>
  <sheetFormatPr defaultColWidth="9" defaultRowHeight="14.25"/>
  <cols>
    <col min="1" max="1" width="3.125" customWidth="1"/>
    <col min="2" max="2" width="10.75" customWidth="1"/>
    <col min="3" max="3" width="7.125" customWidth="1"/>
    <col min="4" max="5" width="12.375" customWidth="1"/>
    <col min="6" max="7" width="6.5" customWidth="1"/>
    <col min="8" max="9" width="5.5" customWidth="1"/>
    <col min="10" max="10" width="8.125" customWidth="1"/>
    <col min="11" max="11" width="4.625" customWidth="1"/>
    <col min="12" max="12" width="8" customWidth="1"/>
    <col min="13" max="13" width="4.625" customWidth="1"/>
    <col min="14" max="14" width="5.625" customWidth="1"/>
    <col min="15" max="15" width="5.375" customWidth="1"/>
    <col min="16" max="16" width="5.625" customWidth="1"/>
    <col min="17" max="17" width="6.125" customWidth="1"/>
    <col min="18" max="18" width="7.625" customWidth="1"/>
    <col min="19" max="19" width="21.125" customWidth="1"/>
    <col min="20" max="20" width="8.625" customWidth="1"/>
    <col min="21" max="21" width="8.5" style="193" customWidth="1"/>
    <col min="22" max="22" width="8.125" style="193" customWidth="1"/>
    <col min="23" max="23" width="8.875" style="193" customWidth="1"/>
    <col min="24" max="24" width="15.625" style="194" customWidth="1"/>
    <col min="25" max="25" width="19" style="193" customWidth="1"/>
    <col min="26" max="26" width="11.125" style="193" customWidth="1"/>
  </cols>
  <sheetData>
    <row r="1" ht="36.75" customHeight="1" spans="1:26">
      <c r="A1" s="195" t="s">
        <v>994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7" t="s">
        <v>1</v>
      </c>
      <c r="U1" s="198"/>
      <c r="V1" s="199"/>
      <c r="W1" s="200">
        <f ca="1">TODAY()</f>
        <v>46277</v>
      </c>
      <c r="X1" s="201"/>
    </row>
    <row r="2" s="190" customFormat="1" ht="21.95" customHeight="1" spans="1:26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030" t="s">
        <v>70</v>
      </c>
      <c r="M2" s="1031"/>
      <c r="N2" s="1032"/>
      <c r="O2" s="21" t="s">
        <v>995</v>
      </c>
      <c r="P2" s="21" t="s">
        <v>71</v>
      </c>
      <c r="Q2" s="21" t="s">
        <v>19</v>
      </c>
      <c r="R2" s="22" t="s">
        <v>20</v>
      </c>
      <c r="S2" s="24" t="s">
        <v>21</v>
      </c>
      <c r="T2" s="986" t="s">
        <v>22</v>
      </c>
      <c r="U2" s="204" t="s">
        <v>23</v>
      </c>
      <c r="V2" s="204" t="s">
        <v>24</v>
      </c>
      <c r="W2" s="204" t="s">
        <v>25</v>
      </c>
      <c r="X2" s="205" t="s">
        <v>26</v>
      </c>
      <c r="Y2" s="206"/>
      <c r="Z2" s="206"/>
    </row>
    <row r="3" s="190" customFormat="1" ht="24.95" customHeight="1" spans="1:26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1033" t="s">
        <v>73</v>
      </c>
      <c r="M3" s="1033" t="s">
        <v>74</v>
      </c>
      <c r="N3" s="1033" t="s">
        <v>75</v>
      </c>
      <c r="O3" s="21"/>
      <c r="P3" s="21"/>
      <c r="Q3" s="21"/>
      <c r="R3" s="32"/>
      <c r="S3" s="24"/>
      <c r="T3" s="986"/>
      <c r="U3" s="204"/>
      <c r="V3" s="204"/>
      <c r="W3" s="204"/>
      <c r="X3" s="205"/>
      <c r="Y3" s="206" t="s">
        <v>65</v>
      </c>
      <c r="Z3" s="206" t="s">
        <v>996</v>
      </c>
    </row>
    <row r="4" s="3" customFormat="1" ht="27" hidden="1" customHeight="1" spans="1:26">
      <c r="A4" s="208">
        <f t="shared" ref="A4:A10" si="0">ROW()-3</f>
        <v>1</v>
      </c>
      <c r="B4" s="48" t="s">
        <v>191</v>
      </c>
      <c r="C4" s="49" t="s">
        <v>909</v>
      </c>
      <c r="D4" s="51" t="s">
        <v>231</v>
      </c>
      <c r="E4" s="50" t="s">
        <v>232</v>
      </c>
      <c r="F4" s="52">
        <v>46000</v>
      </c>
      <c r="G4" s="52">
        <v>46059</v>
      </c>
      <c r="H4" s="52">
        <v>46059</v>
      </c>
      <c r="I4" s="53">
        <v>46003</v>
      </c>
      <c r="J4" s="175">
        <v>1440</v>
      </c>
      <c r="K4" s="175">
        <v>1</v>
      </c>
      <c r="L4" s="49" t="s">
        <v>213</v>
      </c>
      <c r="M4" s="49" t="s">
        <v>81</v>
      </c>
      <c r="N4" s="49" t="s">
        <v>556</v>
      </c>
      <c r="O4" s="49" t="s">
        <v>196</v>
      </c>
      <c r="P4" s="48" t="s">
        <v>997</v>
      </c>
      <c r="Q4" s="305" t="s">
        <v>350</v>
      </c>
      <c r="R4" s="49" t="s">
        <v>213</v>
      </c>
      <c r="S4" s="48" t="s">
        <v>998</v>
      </c>
      <c r="T4" s="807">
        <v>46057</v>
      </c>
      <c r="U4" s="211">
        <v>46057</v>
      </c>
      <c r="V4" s="308"/>
      <c r="W4" s="176">
        <v>46092</v>
      </c>
      <c r="X4" s="1284" t="s">
        <v>233</v>
      </c>
      <c r="Y4" s="3" t="s">
        <v>999</v>
      </c>
    </row>
    <row r="5" s="3" customFormat="1" ht="27" hidden="1" customHeight="1" spans="1:26">
      <c r="A5" s="208">
        <f t="shared" si="0"/>
        <v>2</v>
      </c>
      <c r="B5" s="48" t="s">
        <v>191</v>
      </c>
      <c r="C5" s="49" t="s">
        <v>909</v>
      </c>
      <c r="D5" s="51" t="s">
        <v>1000</v>
      </c>
      <c r="E5" s="51" t="s">
        <v>1001</v>
      </c>
      <c r="F5" s="52">
        <v>46000</v>
      </c>
      <c r="G5" s="52">
        <v>46059</v>
      </c>
      <c r="H5" s="52">
        <v>46059</v>
      </c>
      <c r="I5" s="53">
        <v>46003</v>
      </c>
      <c r="J5" s="175">
        <v>720</v>
      </c>
      <c r="K5" s="175">
        <v>1</v>
      </c>
      <c r="L5" s="49" t="s">
        <v>213</v>
      </c>
      <c r="M5" s="49" t="s">
        <v>81</v>
      </c>
      <c r="N5" s="49" t="s">
        <v>556</v>
      </c>
      <c r="O5" s="49" t="s">
        <v>196</v>
      </c>
      <c r="P5" s="48" t="s">
        <v>997</v>
      </c>
      <c r="Q5" s="305" t="s">
        <v>350</v>
      </c>
      <c r="R5" s="49" t="s">
        <v>213</v>
      </c>
      <c r="S5" s="48" t="s">
        <v>998</v>
      </c>
      <c r="T5" s="807">
        <v>46057</v>
      </c>
      <c r="U5" s="211">
        <v>46057</v>
      </c>
      <c r="V5" s="308"/>
      <c r="W5" s="176">
        <v>46092</v>
      </c>
      <c r="X5" s="1284" t="s">
        <v>1002</v>
      </c>
      <c r="Y5" s="3" t="s">
        <v>999</v>
      </c>
    </row>
    <row r="6" s="3" customFormat="1" ht="27" hidden="1" customHeight="1" spans="1:26">
      <c r="A6" s="208">
        <f t="shared" si="0"/>
        <v>3</v>
      </c>
      <c r="B6" s="48" t="s">
        <v>191</v>
      </c>
      <c r="C6" s="49" t="s">
        <v>909</v>
      </c>
      <c r="D6" s="51" t="s">
        <v>1003</v>
      </c>
      <c r="E6" s="50" t="s">
        <v>1004</v>
      </c>
      <c r="F6" s="52">
        <v>46035</v>
      </c>
      <c r="G6" s="52">
        <v>46094</v>
      </c>
      <c r="H6" s="52">
        <v>46094</v>
      </c>
      <c r="I6" s="53">
        <v>46038</v>
      </c>
      <c r="J6" s="175">
        <v>1680</v>
      </c>
      <c r="K6" s="175">
        <v>1</v>
      </c>
      <c r="L6" s="49" t="s">
        <v>213</v>
      </c>
      <c r="M6" s="49" t="s">
        <v>81</v>
      </c>
      <c r="N6" s="49" t="s">
        <v>556</v>
      </c>
      <c r="O6" s="49" t="s">
        <v>196</v>
      </c>
      <c r="P6" s="48" t="s">
        <v>997</v>
      </c>
      <c r="Q6" s="305" t="s">
        <v>365</v>
      </c>
      <c r="R6" s="49" t="s">
        <v>213</v>
      </c>
      <c r="S6" s="48" t="s">
        <v>998</v>
      </c>
      <c r="T6" s="807">
        <v>46092</v>
      </c>
      <c r="U6" s="211">
        <v>46091</v>
      </c>
      <c r="V6" s="308"/>
      <c r="W6" s="176">
        <v>46112</v>
      </c>
      <c r="X6" s="1284" t="s">
        <v>1005</v>
      </c>
      <c r="Y6" s="3" t="s">
        <v>999</v>
      </c>
    </row>
    <row r="7" s="3" customFormat="1" ht="27" hidden="1" customHeight="1" spans="1:26">
      <c r="A7" s="208">
        <f t="shared" si="0"/>
        <v>4</v>
      </c>
      <c r="B7" s="48" t="s">
        <v>191</v>
      </c>
      <c r="C7" s="49" t="s">
        <v>909</v>
      </c>
      <c r="D7" s="51" t="s">
        <v>1006</v>
      </c>
      <c r="E7" s="50" t="s">
        <v>1004</v>
      </c>
      <c r="F7" s="52">
        <v>46035</v>
      </c>
      <c r="G7" s="52">
        <v>46094</v>
      </c>
      <c r="H7" s="52">
        <v>46094</v>
      </c>
      <c r="I7" s="53">
        <v>46038</v>
      </c>
      <c r="J7" s="175">
        <v>960</v>
      </c>
      <c r="K7" s="175">
        <v>1</v>
      </c>
      <c r="L7" s="49" t="s">
        <v>213</v>
      </c>
      <c r="M7" s="49" t="s">
        <v>81</v>
      </c>
      <c r="N7" s="49" t="s">
        <v>556</v>
      </c>
      <c r="O7" s="49" t="s">
        <v>196</v>
      </c>
      <c r="P7" s="48" t="s">
        <v>997</v>
      </c>
      <c r="Q7" s="305" t="s">
        <v>365</v>
      </c>
      <c r="R7" s="49" t="s">
        <v>213</v>
      </c>
      <c r="S7" s="48" t="s">
        <v>998</v>
      </c>
      <c r="T7" s="807">
        <v>46092</v>
      </c>
      <c r="U7" s="211">
        <v>46091</v>
      </c>
      <c r="V7" s="308"/>
      <c r="W7" s="176">
        <v>46109</v>
      </c>
      <c r="X7" s="1284" t="s">
        <v>1007</v>
      </c>
      <c r="Y7" s="3" t="s">
        <v>999</v>
      </c>
    </row>
    <row r="8" s="3" customFormat="1" ht="27" hidden="1" customHeight="1" spans="1:26">
      <c r="A8" s="208">
        <f t="shared" si="0"/>
        <v>5</v>
      </c>
      <c r="B8" s="48" t="s">
        <v>191</v>
      </c>
      <c r="C8" s="49" t="s">
        <v>909</v>
      </c>
      <c r="D8" s="51" t="s">
        <v>1008</v>
      </c>
      <c r="E8" s="50" t="s">
        <v>1004</v>
      </c>
      <c r="F8" s="52">
        <v>46035</v>
      </c>
      <c r="G8" s="52">
        <v>46094</v>
      </c>
      <c r="H8" s="52">
        <v>46094</v>
      </c>
      <c r="I8" s="53">
        <v>46038</v>
      </c>
      <c r="J8" s="175">
        <v>600</v>
      </c>
      <c r="K8" s="175">
        <v>1</v>
      </c>
      <c r="L8" s="49" t="s">
        <v>213</v>
      </c>
      <c r="M8" s="49" t="s">
        <v>81</v>
      </c>
      <c r="N8" s="49" t="s">
        <v>556</v>
      </c>
      <c r="O8" s="49" t="s">
        <v>196</v>
      </c>
      <c r="P8" s="48" t="s">
        <v>997</v>
      </c>
      <c r="Q8" s="305" t="s">
        <v>365</v>
      </c>
      <c r="R8" s="49" t="s">
        <v>213</v>
      </c>
      <c r="S8" s="48" t="s">
        <v>998</v>
      </c>
      <c r="T8" s="807">
        <v>46092</v>
      </c>
      <c r="U8" s="211">
        <v>46091</v>
      </c>
      <c r="V8" s="308"/>
      <c r="W8" s="176">
        <v>46106</v>
      </c>
      <c r="X8" s="1284" t="s">
        <v>1009</v>
      </c>
      <c r="Y8" s="3" t="s">
        <v>999</v>
      </c>
    </row>
    <row r="9" s="3" customFormat="1" ht="27" hidden="1" customHeight="1" spans="1:26">
      <c r="A9" s="208">
        <f t="shared" si="0"/>
        <v>6</v>
      </c>
      <c r="B9" s="48" t="s">
        <v>191</v>
      </c>
      <c r="C9" s="49" t="s">
        <v>909</v>
      </c>
      <c r="D9" s="51" t="s">
        <v>916</v>
      </c>
      <c r="E9" s="50" t="s">
        <v>917</v>
      </c>
      <c r="F9" s="52">
        <v>46035</v>
      </c>
      <c r="G9" s="52">
        <v>46094</v>
      </c>
      <c r="H9" s="52">
        <v>46094</v>
      </c>
      <c r="I9" s="53">
        <v>46038</v>
      </c>
      <c r="J9" s="175">
        <v>2400</v>
      </c>
      <c r="K9" s="175">
        <v>1</v>
      </c>
      <c r="L9" s="49" t="s">
        <v>213</v>
      </c>
      <c r="M9" s="49" t="s">
        <v>81</v>
      </c>
      <c r="N9" s="49" t="s">
        <v>556</v>
      </c>
      <c r="O9" s="49" t="s">
        <v>196</v>
      </c>
      <c r="P9" s="48" t="s">
        <v>997</v>
      </c>
      <c r="Q9" s="305" t="s">
        <v>365</v>
      </c>
      <c r="R9" s="49" t="s">
        <v>213</v>
      </c>
      <c r="S9" s="48" t="s">
        <v>998</v>
      </c>
      <c r="T9" s="807">
        <v>46092</v>
      </c>
      <c r="U9" s="211">
        <v>46091</v>
      </c>
      <c r="V9" s="308"/>
      <c r="W9" s="176">
        <v>46106</v>
      </c>
      <c r="X9" s="1284" t="s">
        <v>922</v>
      </c>
      <c r="Y9" s="3" t="s">
        <v>999</v>
      </c>
    </row>
    <row r="10" s="3" customFormat="1" ht="27" hidden="1" customHeight="1" spans="1:26">
      <c r="A10" s="208">
        <f t="shared" si="0"/>
        <v>7</v>
      </c>
      <c r="B10" s="48" t="s">
        <v>191</v>
      </c>
      <c r="C10" s="49" t="s">
        <v>909</v>
      </c>
      <c r="D10" s="51" t="s">
        <v>1010</v>
      </c>
      <c r="E10" s="50" t="s">
        <v>1004</v>
      </c>
      <c r="F10" s="52">
        <v>46035</v>
      </c>
      <c r="G10" s="52">
        <v>46094</v>
      </c>
      <c r="H10" s="52">
        <v>46094</v>
      </c>
      <c r="I10" s="53">
        <v>46038</v>
      </c>
      <c r="J10" s="175">
        <v>1080</v>
      </c>
      <c r="K10" s="175">
        <v>1</v>
      </c>
      <c r="L10" s="49" t="s">
        <v>213</v>
      </c>
      <c r="M10" s="49" t="s">
        <v>81</v>
      </c>
      <c r="N10" s="49" t="s">
        <v>918</v>
      </c>
      <c r="O10" s="49" t="s">
        <v>196</v>
      </c>
      <c r="P10" s="48" t="s">
        <v>365</v>
      </c>
      <c r="Q10" s="305" t="s">
        <v>365</v>
      </c>
      <c r="R10" s="49" t="s">
        <v>213</v>
      </c>
      <c r="S10" s="48" t="s">
        <v>998</v>
      </c>
      <c r="T10" s="807">
        <v>46092</v>
      </c>
      <c r="U10" s="211">
        <v>46091</v>
      </c>
      <c r="V10" s="308"/>
      <c r="W10" s="176">
        <v>46099</v>
      </c>
      <c r="X10" s="1284" t="s">
        <v>1011</v>
      </c>
      <c r="Y10" s="3" t="s">
        <v>999</v>
      </c>
    </row>
    <row r="11" s="3" customFormat="1" ht="27" hidden="1" customHeight="1" spans="1:26">
      <c r="A11" s="208">
        <f t="shared" ref="A11:A17" si="1">ROW()-3</f>
        <v>8</v>
      </c>
      <c r="B11" s="48" t="s">
        <v>191</v>
      </c>
      <c r="C11" s="49" t="s">
        <v>909</v>
      </c>
      <c r="D11" s="51" t="s">
        <v>1012</v>
      </c>
      <c r="E11" s="50" t="s">
        <v>1013</v>
      </c>
      <c r="F11" s="52">
        <v>46035</v>
      </c>
      <c r="G11" s="52">
        <v>46116</v>
      </c>
      <c r="H11" s="52">
        <v>46116</v>
      </c>
      <c r="I11" s="53">
        <v>46042</v>
      </c>
      <c r="J11" s="175">
        <v>1080</v>
      </c>
      <c r="K11" s="175">
        <v>1</v>
      </c>
      <c r="L11" s="49" t="s">
        <v>1014</v>
      </c>
      <c r="M11" s="49" t="s">
        <v>81</v>
      </c>
      <c r="N11" s="49" t="s">
        <v>918</v>
      </c>
      <c r="O11" s="49" t="s">
        <v>196</v>
      </c>
      <c r="P11" s="48" t="s">
        <v>365</v>
      </c>
      <c r="Q11" s="305" t="s">
        <v>365</v>
      </c>
      <c r="R11" s="49" t="s">
        <v>1014</v>
      </c>
      <c r="S11" s="48" t="s">
        <v>998</v>
      </c>
      <c r="T11" s="807">
        <v>46114</v>
      </c>
      <c r="U11" s="211">
        <v>46100</v>
      </c>
      <c r="V11" s="308"/>
      <c r="W11" s="176">
        <v>46125</v>
      </c>
      <c r="X11" s="1284" t="s">
        <v>1015</v>
      </c>
      <c r="Y11" s="3" t="s">
        <v>999</v>
      </c>
    </row>
    <row r="12" s="3" customFormat="1" ht="27" hidden="1" customHeight="1" spans="1:26">
      <c r="A12" s="208">
        <f t="shared" si="1"/>
        <v>9</v>
      </c>
      <c r="B12" s="48" t="s">
        <v>191</v>
      </c>
      <c r="C12" s="49" t="s">
        <v>909</v>
      </c>
      <c r="D12" s="51" t="s">
        <v>1016</v>
      </c>
      <c r="E12" s="50" t="s">
        <v>1017</v>
      </c>
      <c r="F12" s="52">
        <v>46035</v>
      </c>
      <c r="G12" s="52">
        <v>46116</v>
      </c>
      <c r="H12" s="52">
        <v>46116</v>
      </c>
      <c r="I12" s="53">
        <v>46042</v>
      </c>
      <c r="J12" s="175">
        <v>1260</v>
      </c>
      <c r="K12" s="175">
        <v>1</v>
      </c>
      <c r="L12" s="49" t="s">
        <v>1014</v>
      </c>
      <c r="M12" s="49" t="s">
        <v>81</v>
      </c>
      <c r="N12" s="49" t="s">
        <v>918</v>
      </c>
      <c r="O12" s="49" t="s">
        <v>196</v>
      </c>
      <c r="P12" s="48" t="s">
        <v>365</v>
      </c>
      <c r="Q12" s="305" t="s">
        <v>365</v>
      </c>
      <c r="R12" s="49" t="s">
        <v>1014</v>
      </c>
      <c r="S12" s="48" t="s">
        <v>998</v>
      </c>
      <c r="T12" s="807">
        <v>46114</v>
      </c>
      <c r="U12" s="211">
        <v>46107</v>
      </c>
      <c r="V12" s="211"/>
      <c r="W12" s="176">
        <v>46119</v>
      </c>
      <c r="X12" s="1284" t="s">
        <v>1018</v>
      </c>
      <c r="Y12" s="3" t="s">
        <v>999</v>
      </c>
    </row>
    <row r="13" s="3" customFormat="1" ht="27" hidden="1" customHeight="1" spans="1:26">
      <c r="A13" s="208">
        <f t="shared" si="1"/>
        <v>10</v>
      </c>
      <c r="B13" s="48" t="s">
        <v>191</v>
      </c>
      <c r="C13" s="49" t="s">
        <v>909</v>
      </c>
      <c r="D13" s="51" t="s">
        <v>1019</v>
      </c>
      <c r="E13" s="50" t="s">
        <v>1020</v>
      </c>
      <c r="F13" s="52">
        <v>46035</v>
      </c>
      <c r="G13" s="52">
        <v>46116</v>
      </c>
      <c r="H13" s="52">
        <v>46116</v>
      </c>
      <c r="I13" s="53">
        <v>46042</v>
      </c>
      <c r="J13" s="175">
        <v>2040</v>
      </c>
      <c r="K13" s="175">
        <v>1</v>
      </c>
      <c r="L13" s="49" t="s">
        <v>1014</v>
      </c>
      <c r="M13" s="49" t="s">
        <v>81</v>
      </c>
      <c r="N13" s="49" t="s">
        <v>918</v>
      </c>
      <c r="O13" s="49" t="s">
        <v>196</v>
      </c>
      <c r="P13" s="48" t="s">
        <v>365</v>
      </c>
      <c r="Q13" s="305" t="s">
        <v>365</v>
      </c>
      <c r="R13" s="49" t="s">
        <v>1014</v>
      </c>
      <c r="S13" s="48" t="s">
        <v>998</v>
      </c>
      <c r="T13" s="807">
        <v>46114</v>
      </c>
      <c r="U13" s="211">
        <v>46107</v>
      </c>
      <c r="V13" s="211"/>
      <c r="W13" s="211" t="s">
        <v>1021</v>
      </c>
      <c r="X13" s="1284" t="s">
        <v>1022</v>
      </c>
      <c r="Y13" s="3" t="s">
        <v>999</v>
      </c>
    </row>
    <row r="14" s="3" customFormat="1" ht="27" hidden="1" customHeight="1" spans="1:26">
      <c r="A14" s="208">
        <f t="shared" si="1"/>
        <v>11</v>
      </c>
      <c r="B14" s="48" t="s">
        <v>191</v>
      </c>
      <c r="C14" s="49" t="s">
        <v>909</v>
      </c>
      <c r="D14" s="51" t="s">
        <v>1023</v>
      </c>
      <c r="E14" s="50" t="s">
        <v>1024</v>
      </c>
      <c r="F14" s="52">
        <v>46035</v>
      </c>
      <c r="G14" s="52">
        <v>46116</v>
      </c>
      <c r="H14" s="52">
        <v>46116</v>
      </c>
      <c r="I14" s="53">
        <v>46042</v>
      </c>
      <c r="J14" s="175">
        <v>1560</v>
      </c>
      <c r="K14" s="175">
        <v>1</v>
      </c>
      <c r="L14" s="49" t="s">
        <v>1014</v>
      </c>
      <c r="M14" s="49" t="s">
        <v>81</v>
      </c>
      <c r="N14" s="49" t="s">
        <v>918</v>
      </c>
      <c r="O14" s="49" t="s">
        <v>196</v>
      </c>
      <c r="P14" s="48" t="s">
        <v>365</v>
      </c>
      <c r="Q14" s="305" t="s">
        <v>365</v>
      </c>
      <c r="R14" s="49" t="s">
        <v>1014</v>
      </c>
      <c r="S14" s="48" t="s">
        <v>998</v>
      </c>
      <c r="T14" s="807">
        <v>46114</v>
      </c>
      <c r="U14" s="211">
        <v>46113</v>
      </c>
      <c r="V14" s="308"/>
      <c r="W14" s="176">
        <v>46119</v>
      </c>
      <c r="X14" s="1284" t="s">
        <v>1025</v>
      </c>
      <c r="Y14" s="3" t="s">
        <v>999</v>
      </c>
    </row>
    <row r="15" s="3" customFormat="1" ht="27" hidden="1" customHeight="1" spans="1:26">
      <c r="A15" s="208">
        <f t="shared" si="1"/>
        <v>12</v>
      </c>
      <c r="B15" s="48" t="s">
        <v>191</v>
      </c>
      <c r="C15" s="49" t="s">
        <v>909</v>
      </c>
      <c r="D15" s="51" t="s">
        <v>1026</v>
      </c>
      <c r="E15" s="50" t="s">
        <v>1027</v>
      </c>
      <c r="F15" s="52">
        <v>46035</v>
      </c>
      <c r="G15" s="52">
        <v>46116</v>
      </c>
      <c r="H15" s="52">
        <v>46116</v>
      </c>
      <c r="I15" s="53">
        <v>46042</v>
      </c>
      <c r="J15" s="175">
        <v>900</v>
      </c>
      <c r="K15" s="175">
        <v>1</v>
      </c>
      <c r="L15" s="49" t="s">
        <v>1014</v>
      </c>
      <c r="M15" s="49" t="s">
        <v>81</v>
      </c>
      <c r="N15" s="49" t="s">
        <v>918</v>
      </c>
      <c r="O15" s="49" t="s">
        <v>196</v>
      </c>
      <c r="P15" s="48" t="s">
        <v>365</v>
      </c>
      <c r="Q15" s="305" t="s">
        <v>365</v>
      </c>
      <c r="R15" s="49" t="s">
        <v>1014</v>
      </c>
      <c r="S15" s="48" t="s">
        <v>998</v>
      </c>
      <c r="T15" s="807">
        <v>46114</v>
      </c>
      <c r="U15" s="211">
        <v>46113</v>
      </c>
      <c r="V15" s="308"/>
      <c r="W15" s="176">
        <v>46125</v>
      </c>
      <c r="X15" s="1284" t="s">
        <v>1028</v>
      </c>
      <c r="Y15" s="3" t="s">
        <v>999</v>
      </c>
    </row>
    <row r="16" s="3" customFormat="1" ht="27" hidden="1" customHeight="1" spans="1:26">
      <c r="A16" s="208">
        <f t="shared" si="1"/>
        <v>13</v>
      </c>
      <c r="B16" s="48" t="s">
        <v>191</v>
      </c>
      <c r="C16" s="49" t="s">
        <v>909</v>
      </c>
      <c r="D16" s="51" t="s">
        <v>1029</v>
      </c>
      <c r="E16" s="50" t="s">
        <v>1030</v>
      </c>
      <c r="F16" s="52">
        <v>46035</v>
      </c>
      <c r="G16" s="52">
        <v>46116</v>
      </c>
      <c r="H16" s="52">
        <v>46116</v>
      </c>
      <c r="I16" s="53">
        <v>46042</v>
      </c>
      <c r="J16" s="175">
        <v>1560</v>
      </c>
      <c r="K16" s="175">
        <v>1</v>
      </c>
      <c r="L16" s="49" t="s">
        <v>1014</v>
      </c>
      <c r="M16" s="49" t="s">
        <v>81</v>
      </c>
      <c r="N16" s="49" t="s">
        <v>918</v>
      </c>
      <c r="O16" s="49" t="s">
        <v>196</v>
      </c>
      <c r="P16" s="48" t="s">
        <v>365</v>
      </c>
      <c r="Q16" s="305" t="s">
        <v>365</v>
      </c>
      <c r="R16" s="49" t="s">
        <v>1014</v>
      </c>
      <c r="S16" s="48" t="s">
        <v>998</v>
      </c>
      <c r="T16" s="807">
        <v>46114</v>
      </c>
      <c r="U16" s="211">
        <v>46113</v>
      </c>
      <c r="V16" s="308"/>
      <c r="W16" s="176">
        <v>46122</v>
      </c>
      <c r="X16" s="1284" t="s">
        <v>1031</v>
      </c>
      <c r="Y16" s="3" t="s">
        <v>999</v>
      </c>
    </row>
    <row r="17" s="3" customFormat="1" ht="27" hidden="1" customHeight="1" spans="1:25">
      <c r="A17" s="208">
        <f t="shared" si="1"/>
        <v>14</v>
      </c>
      <c r="B17" s="48" t="s">
        <v>191</v>
      </c>
      <c r="C17" s="49" t="s">
        <v>909</v>
      </c>
      <c r="D17" s="51" t="s">
        <v>1032</v>
      </c>
      <c r="E17" s="50" t="s">
        <v>1033</v>
      </c>
      <c r="F17" s="52">
        <v>46035</v>
      </c>
      <c r="G17" s="52">
        <v>46116</v>
      </c>
      <c r="H17" s="52">
        <v>46116</v>
      </c>
      <c r="I17" s="53">
        <v>46042</v>
      </c>
      <c r="J17" s="175">
        <v>1440</v>
      </c>
      <c r="K17" s="175">
        <v>1</v>
      </c>
      <c r="L17" s="49" t="s">
        <v>1014</v>
      </c>
      <c r="M17" s="49" t="s">
        <v>81</v>
      </c>
      <c r="N17" s="49" t="s">
        <v>918</v>
      </c>
      <c r="O17" s="49" t="s">
        <v>196</v>
      </c>
      <c r="P17" s="48" t="s">
        <v>365</v>
      </c>
      <c r="Q17" s="305" t="s">
        <v>365</v>
      </c>
      <c r="R17" s="49" t="s">
        <v>1014</v>
      </c>
      <c r="S17" s="48" t="s">
        <v>998</v>
      </c>
      <c r="T17" s="807">
        <v>46114</v>
      </c>
      <c r="U17" s="211">
        <v>46113</v>
      </c>
      <c r="V17" s="308"/>
      <c r="W17" s="176">
        <v>46125</v>
      </c>
      <c r="X17" s="1284" t="s">
        <v>1034</v>
      </c>
      <c r="Y17" s="3" t="s">
        <v>999</v>
      </c>
    </row>
    <row r="18" s="3" customFormat="1" ht="27" hidden="1" customHeight="1" spans="1:25">
      <c r="A18" s="208">
        <f t="shared" ref="A18:A31" si="2">ROW()-3</f>
        <v>15</v>
      </c>
      <c r="B18" s="48" t="s">
        <v>191</v>
      </c>
      <c r="C18" s="49" t="s">
        <v>909</v>
      </c>
      <c r="D18" s="51" t="s">
        <v>923</v>
      </c>
      <c r="E18" s="50" t="s">
        <v>924</v>
      </c>
      <c r="F18" s="52">
        <v>46044</v>
      </c>
      <c r="G18" s="52">
        <v>46124</v>
      </c>
      <c r="H18" s="52">
        <v>46124</v>
      </c>
      <c r="I18" s="53">
        <v>46052</v>
      </c>
      <c r="J18" s="175">
        <v>1320</v>
      </c>
      <c r="K18" s="175">
        <v>1</v>
      </c>
      <c r="L18" s="49" t="s">
        <v>1014</v>
      </c>
      <c r="M18" s="49" t="s">
        <v>81</v>
      </c>
      <c r="N18" s="49" t="s">
        <v>1035</v>
      </c>
      <c r="O18" s="49" t="s">
        <v>196</v>
      </c>
      <c r="P18" s="48" t="s">
        <v>1036</v>
      </c>
      <c r="Q18" s="305" t="s">
        <v>1036</v>
      </c>
      <c r="R18" s="49" t="s">
        <v>1014</v>
      </c>
      <c r="S18" s="48" t="s">
        <v>998</v>
      </c>
      <c r="T18" s="807">
        <v>46122</v>
      </c>
      <c r="U18" s="211">
        <v>46122</v>
      </c>
      <c r="V18" s="211"/>
      <c r="W18" s="176">
        <v>46133</v>
      </c>
      <c r="X18" s="1284" t="s">
        <v>925</v>
      </c>
      <c r="Y18" s="3" t="s">
        <v>999</v>
      </c>
    </row>
    <row r="19" s="3" customFormat="1" ht="27" hidden="1" customHeight="1" spans="1:25">
      <c r="A19" s="208">
        <f t="shared" si="2"/>
        <v>16</v>
      </c>
      <c r="B19" s="48" t="s">
        <v>191</v>
      </c>
      <c r="C19" s="49" t="s">
        <v>909</v>
      </c>
      <c r="D19" s="51" t="s">
        <v>1037</v>
      </c>
      <c r="E19" s="50" t="s">
        <v>1038</v>
      </c>
      <c r="F19" s="52">
        <v>46044</v>
      </c>
      <c r="G19" s="52">
        <v>46124</v>
      </c>
      <c r="H19" s="52">
        <v>46124</v>
      </c>
      <c r="I19" s="53">
        <v>46052</v>
      </c>
      <c r="J19" s="175">
        <v>1020</v>
      </c>
      <c r="K19" s="175">
        <v>1</v>
      </c>
      <c r="L19" s="49" t="s">
        <v>1014</v>
      </c>
      <c r="M19" s="49" t="s">
        <v>81</v>
      </c>
      <c r="N19" s="49" t="s">
        <v>1035</v>
      </c>
      <c r="O19" s="49" t="s">
        <v>196</v>
      </c>
      <c r="P19" s="48" t="s">
        <v>1036</v>
      </c>
      <c r="Q19" s="305" t="s">
        <v>1036</v>
      </c>
      <c r="R19" s="49" t="s">
        <v>1014</v>
      </c>
      <c r="S19" s="48" t="s">
        <v>998</v>
      </c>
      <c r="T19" s="807">
        <v>46122</v>
      </c>
      <c r="U19" s="211">
        <v>46122</v>
      </c>
      <c r="V19" s="211"/>
      <c r="W19" s="176">
        <v>46133</v>
      </c>
      <c r="X19" s="1284" t="s">
        <v>1039</v>
      </c>
      <c r="Y19" s="3" t="s">
        <v>999</v>
      </c>
    </row>
    <row r="20" s="3" customFormat="1" ht="27" hidden="1" customHeight="1" spans="1:25">
      <c r="A20" s="208">
        <f t="shared" si="2"/>
        <v>17</v>
      </c>
      <c r="B20" s="48" t="s">
        <v>191</v>
      </c>
      <c r="C20" s="49" t="s">
        <v>909</v>
      </c>
      <c r="D20" s="51" t="s">
        <v>1040</v>
      </c>
      <c r="E20" s="50" t="s">
        <v>1041</v>
      </c>
      <c r="F20" s="52">
        <v>46044</v>
      </c>
      <c r="G20" s="52">
        <v>46124</v>
      </c>
      <c r="H20" s="52">
        <v>46124</v>
      </c>
      <c r="I20" s="53">
        <v>46052</v>
      </c>
      <c r="J20" s="175">
        <v>600</v>
      </c>
      <c r="K20" s="175">
        <v>1</v>
      </c>
      <c r="L20" s="49" t="s">
        <v>1014</v>
      </c>
      <c r="M20" s="49" t="s">
        <v>81</v>
      </c>
      <c r="N20" s="49" t="s">
        <v>1035</v>
      </c>
      <c r="O20" s="49" t="s">
        <v>196</v>
      </c>
      <c r="P20" s="48" t="s">
        <v>1036</v>
      </c>
      <c r="Q20" s="305" t="s">
        <v>1036</v>
      </c>
      <c r="R20" s="49" t="s">
        <v>1014</v>
      </c>
      <c r="S20" s="48" t="s">
        <v>998</v>
      </c>
      <c r="T20" s="807">
        <v>46122</v>
      </c>
      <c r="U20" s="211">
        <v>46122</v>
      </c>
      <c r="V20" s="211"/>
      <c r="W20" s="176">
        <v>46132</v>
      </c>
      <c r="X20" s="1284" t="s">
        <v>1042</v>
      </c>
      <c r="Y20" s="3" t="s">
        <v>999</v>
      </c>
    </row>
    <row r="21" s="3" customFormat="1" ht="27" hidden="1" customHeight="1" spans="1:25">
      <c r="A21" s="208">
        <f t="shared" si="2"/>
        <v>18</v>
      </c>
      <c r="B21" s="48" t="s">
        <v>191</v>
      </c>
      <c r="C21" s="49" t="s">
        <v>909</v>
      </c>
      <c r="D21" s="51" t="s">
        <v>1043</v>
      </c>
      <c r="E21" s="50" t="s">
        <v>1044</v>
      </c>
      <c r="F21" s="52">
        <v>46044</v>
      </c>
      <c r="G21" s="52">
        <v>46124</v>
      </c>
      <c r="H21" s="52">
        <v>46124</v>
      </c>
      <c r="I21" s="53">
        <v>46052</v>
      </c>
      <c r="J21" s="175">
        <v>1500</v>
      </c>
      <c r="K21" s="175">
        <v>1</v>
      </c>
      <c r="L21" s="49" t="s">
        <v>1014</v>
      </c>
      <c r="M21" s="49" t="s">
        <v>81</v>
      </c>
      <c r="N21" s="49" t="s">
        <v>1035</v>
      </c>
      <c r="O21" s="49" t="s">
        <v>196</v>
      </c>
      <c r="P21" s="48" t="s">
        <v>1036</v>
      </c>
      <c r="Q21" s="305" t="s">
        <v>1036</v>
      </c>
      <c r="R21" s="49" t="s">
        <v>1014</v>
      </c>
      <c r="S21" s="48" t="s">
        <v>998</v>
      </c>
      <c r="T21" s="807">
        <v>46122</v>
      </c>
      <c r="U21" s="211">
        <v>46122</v>
      </c>
      <c r="V21" s="211"/>
      <c r="W21" s="176">
        <v>46133</v>
      </c>
      <c r="X21" s="1284" t="s">
        <v>1045</v>
      </c>
      <c r="Y21" s="3" t="s">
        <v>999</v>
      </c>
    </row>
    <row r="22" s="3" customFormat="1" ht="27" hidden="1" customHeight="1" spans="1:25">
      <c r="A22" s="208">
        <f t="shared" si="2"/>
        <v>19</v>
      </c>
      <c r="B22" s="48" t="s">
        <v>191</v>
      </c>
      <c r="C22" s="49" t="s">
        <v>909</v>
      </c>
      <c r="D22" s="51" t="s">
        <v>1046</v>
      </c>
      <c r="E22" s="50" t="s">
        <v>1047</v>
      </c>
      <c r="F22" s="52">
        <v>46044</v>
      </c>
      <c r="G22" s="52">
        <v>46124</v>
      </c>
      <c r="H22" s="52">
        <v>46124</v>
      </c>
      <c r="I22" s="53">
        <v>46052</v>
      </c>
      <c r="J22" s="175">
        <v>660</v>
      </c>
      <c r="K22" s="175">
        <v>1</v>
      </c>
      <c r="L22" s="49" t="s">
        <v>1014</v>
      </c>
      <c r="M22" s="49" t="s">
        <v>81</v>
      </c>
      <c r="N22" s="49" t="s">
        <v>1035</v>
      </c>
      <c r="O22" s="49" t="s">
        <v>196</v>
      </c>
      <c r="P22" s="48" t="s">
        <v>1036</v>
      </c>
      <c r="Q22" s="305" t="s">
        <v>1036</v>
      </c>
      <c r="R22" s="49" t="s">
        <v>1014</v>
      </c>
      <c r="S22" s="48" t="s">
        <v>998</v>
      </c>
      <c r="T22" s="807">
        <v>46122</v>
      </c>
      <c r="U22" s="211">
        <v>46122</v>
      </c>
      <c r="V22" s="211"/>
      <c r="W22" s="176">
        <v>46127</v>
      </c>
      <c r="X22" s="1284" t="s">
        <v>1048</v>
      </c>
      <c r="Y22" s="3" t="s">
        <v>999</v>
      </c>
    </row>
    <row r="23" s="3" customFormat="1" ht="27" hidden="1" customHeight="1" spans="1:25">
      <c r="A23" s="208">
        <f t="shared" si="2"/>
        <v>20</v>
      </c>
      <c r="B23" s="48" t="s">
        <v>191</v>
      </c>
      <c r="C23" s="49" t="s">
        <v>909</v>
      </c>
      <c r="D23" s="51" t="s">
        <v>1049</v>
      </c>
      <c r="E23" s="50" t="s">
        <v>1050</v>
      </c>
      <c r="F23" s="52">
        <v>46044</v>
      </c>
      <c r="G23" s="52">
        <v>46124</v>
      </c>
      <c r="H23" s="52">
        <v>46124</v>
      </c>
      <c r="I23" s="53">
        <v>46052</v>
      </c>
      <c r="J23" s="175">
        <v>2460</v>
      </c>
      <c r="K23" s="175">
        <v>1</v>
      </c>
      <c r="L23" s="49" t="s">
        <v>1014</v>
      </c>
      <c r="M23" s="49" t="s">
        <v>81</v>
      </c>
      <c r="N23" s="49" t="s">
        <v>1035</v>
      </c>
      <c r="O23" s="49" t="s">
        <v>196</v>
      </c>
      <c r="P23" s="48" t="s">
        <v>1036</v>
      </c>
      <c r="Q23" s="305" t="s">
        <v>1036</v>
      </c>
      <c r="R23" s="49" t="s">
        <v>1014</v>
      </c>
      <c r="S23" s="48" t="s">
        <v>998</v>
      </c>
      <c r="T23" s="807">
        <v>46122</v>
      </c>
      <c r="U23" s="211">
        <v>46122</v>
      </c>
      <c r="V23" s="211"/>
      <c r="W23" s="176">
        <v>46137</v>
      </c>
      <c r="X23" s="1284" t="s">
        <v>1051</v>
      </c>
      <c r="Y23" s="3" t="s">
        <v>999</v>
      </c>
    </row>
    <row r="24" s="3" customFormat="1" ht="27" hidden="1" customHeight="1" spans="1:25">
      <c r="A24" s="208">
        <f t="shared" si="2"/>
        <v>21</v>
      </c>
      <c r="B24" s="48" t="s">
        <v>191</v>
      </c>
      <c r="C24" s="49" t="s">
        <v>909</v>
      </c>
      <c r="D24" s="51" t="s">
        <v>1052</v>
      </c>
      <c r="E24" s="50" t="s">
        <v>1053</v>
      </c>
      <c r="F24" s="52">
        <v>46044</v>
      </c>
      <c r="G24" s="52">
        <v>46124</v>
      </c>
      <c r="H24" s="52">
        <v>46124</v>
      </c>
      <c r="I24" s="53">
        <v>46052</v>
      </c>
      <c r="J24" s="175">
        <v>1740</v>
      </c>
      <c r="K24" s="175">
        <v>1</v>
      </c>
      <c r="L24" s="49" t="s">
        <v>1014</v>
      </c>
      <c r="M24" s="49" t="s">
        <v>81</v>
      </c>
      <c r="N24" s="49" t="s">
        <v>1035</v>
      </c>
      <c r="O24" s="49" t="s">
        <v>196</v>
      </c>
      <c r="P24" s="48" t="s">
        <v>1036</v>
      </c>
      <c r="Q24" s="305" t="s">
        <v>1036</v>
      </c>
      <c r="R24" s="49" t="s">
        <v>1014</v>
      </c>
      <c r="S24" s="48" t="s">
        <v>998</v>
      </c>
      <c r="T24" s="807">
        <v>46122</v>
      </c>
      <c r="U24" s="211">
        <v>46122</v>
      </c>
      <c r="V24" s="211"/>
      <c r="W24" s="176">
        <v>46132</v>
      </c>
      <c r="X24" s="1284" t="s">
        <v>1054</v>
      </c>
      <c r="Y24" s="3" t="s">
        <v>999</v>
      </c>
    </row>
    <row r="25" s="3" customFormat="1" ht="27" hidden="1" customHeight="1" spans="1:25">
      <c r="A25" s="208">
        <f t="shared" si="2"/>
        <v>22</v>
      </c>
      <c r="B25" s="48" t="s">
        <v>191</v>
      </c>
      <c r="C25" s="49" t="s">
        <v>909</v>
      </c>
      <c r="D25" s="51" t="s">
        <v>1055</v>
      </c>
      <c r="E25" s="50" t="s">
        <v>1056</v>
      </c>
      <c r="F25" s="52">
        <v>46050</v>
      </c>
      <c r="G25" s="52">
        <v>46133</v>
      </c>
      <c r="H25" s="52">
        <v>46133</v>
      </c>
      <c r="I25" s="53">
        <v>46062</v>
      </c>
      <c r="J25" s="175">
        <v>600</v>
      </c>
      <c r="K25" s="175">
        <v>1</v>
      </c>
      <c r="L25" s="49" t="s">
        <v>1014</v>
      </c>
      <c r="M25" s="49" t="s">
        <v>81</v>
      </c>
      <c r="N25" s="49" t="s">
        <v>1057</v>
      </c>
      <c r="O25" s="49" t="s">
        <v>196</v>
      </c>
      <c r="P25" s="48" t="s">
        <v>1036</v>
      </c>
      <c r="Q25" s="305" t="s">
        <v>1036</v>
      </c>
      <c r="R25" s="49" t="s">
        <v>1014</v>
      </c>
      <c r="S25" s="48" t="s">
        <v>998</v>
      </c>
      <c r="T25" s="807">
        <v>46133</v>
      </c>
      <c r="U25" s="211">
        <v>46136</v>
      </c>
      <c r="V25" s="211"/>
      <c r="W25" s="176">
        <v>46168</v>
      </c>
      <c r="X25" s="213" t="s">
        <v>1058</v>
      </c>
      <c r="Y25" s="3" t="s">
        <v>999</v>
      </c>
    </row>
    <row r="26" s="3" customFormat="1" ht="27" hidden="1" customHeight="1" spans="1:25">
      <c r="A26" s="208">
        <f t="shared" si="2"/>
        <v>23</v>
      </c>
      <c r="B26" s="48" t="s">
        <v>191</v>
      </c>
      <c r="C26" s="49" t="s">
        <v>909</v>
      </c>
      <c r="D26" s="51" t="s">
        <v>1059</v>
      </c>
      <c r="E26" s="50" t="s">
        <v>1060</v>
      </c>
      <c r="F26" s="52">
        <v>46050</v>
      </c>
      <c r="G26" s="52">
        <v>46133</v>
      </c>
      <c r="H26" s="52">
        <v>46133</v>
      </c>
      <c r="I26" s="53">
        <v>46062</v>
      </c>
      <c r="J26" s="175">
        <v>600</v>
      </c>
      <c r="K26" s="175">
        <v>1</v>
      </c>
      <c r="L26" s="49" t="s">
        <v>1014</v>
      </c>
      <c r="M26" s="49" t="s">
        <v>81</v>
      </c>
      <c r="N26" s="49" t="s">
        <v>1057</v>
      </c>
      <c r="O26" s="49" t="s">
        <v>196</v>
      </c>
      <c r="P26" s="48" t="s">
        <v>1036</v>
      </c>
      <c r="Q26" s="305" t="s">
        <v>1036</v>
      </c>
      <c r="R26" s="49" t="s">
        <v>1014</v>
      </c>
      <c r="S26" s="48" t="s">
        <v>998</v>
      </c>
      <c r="T26" s="807">
        <v>46133</v>
      </c>
      <c r="U26" s="211">
        <v>46136</v>
      </c>
      <c r="V26" s="211"/>
      <c r="W26" s="176">
        <v>46164</v>
      </c>
      <c r="X26" s="213" t="s">
        <v>1061</v>
      </c>
      <c r="Y26" s="3" t="s">
        <v>999</v>
      </c>
    </row>
    <row r="27" s="3" customFormat="1" ht="39" hidden="1" customHeight="1" spans="1:25">
      <c r="A27" s="208">
        <f t="shared" si="2"/>
        <v>24</v>
      </c>
      <c r="B27" s="48" t="s">
        <v>191</v>
      </c>
      <c r="C27" s="49" t="s">
        <v>909</v>
      </c>
      <c r="D27" s="51" t="s">
        <v>1062</v>
      </c>
      <c r="E27" s="50" t="s">
        <v>1063</v>
      </c>
      <c r="F27" s="52">
        <v>46065</v>
      </c>
      <c r="G27" s="52">
        <v>46153</v>
      </c>
      <c r="H27" s="52">
        <v>46153</v>
      </c>
      <c r="I27" s="53">
        <v>46094</v>
      </c>
      <c r="J27" s="175">
        <v>1080</v>
      </c>
      <c r="K27" s="175">
        <v>1</v>
      </c>
      <c r="L27" s="49" t="s">
        <v>1064</v>
      </c>
      <c r="M27" s="49" t="s">
        <v>81</v>
      </c>
      <c r="N27" s="49" t="s">
        <v>1065</v>
      </c>
      <c r="O27" s="49" t="s">
        <v>196</v>
      </c>
      <c r="P27" s="48" t="s">
        <v>1066</v>
      </c>
      <c r="Q27" s="305" t="s">
        <v>1066</v>
      </c>
      <c r="R27" s="49" t="s">
        <v>1064</v>
      </c>
      <c r="S27" s="48" t="s">
        <v>998</v>
      </c>
      <c r="T27" s="807">
        <v>46153</v>
      </c>
      <c r="U27" s="211">
        <v>46150</v>
      </c>
      <c r="V27" s="211"/>
      <c r="W27" s="211" t="s">
        <v>1067</v>
      </c>
      <c r="X27" s="213" t="s">
        <v>1068</v>
      </c>
      <c r="Y27" s="3" t="s">
        <v>999</v>
      </c>
    </row>
    <row r="28" s="3" customFormat="1" ht="27" hidden="1" customHeight="1" spans="1:25">
      <c r="A28" s="208">
        <f t="shared" si="2"/>
        <v>25</v>
      </c>
      <c r="B28" s="48" t="s">
        <v>1069</v>
      </c>
      <c r="C28" s="49" t="s">
        <v>114</v>
      </c>
      <c r="D28" s="51" t="s">
        <v>1070</v>
      </c>
      <c r="E28" s="50" t="s">
        <v>1071</v>
      </c>
      <c r="F28" s="52">
        <v>46361</v>
      </c>
      <c r="G28" s="52">
        <v>46175</v>
      </c>
      <c r="H28" s="52">
        <v>46175</v>
      </c>
      <c r="I28" s="53">
        <v>46091</v>
      </c>
      <c r="J28" s="175">
        <v>600</v>
      </c>
      <c r="K28" s="175">
        <v>1</v>
      </c>
      <c r="L28" s="49" t="s">
        <v>499</v>
      </c>
      <c r="M28" s="49" t="s">
        <v>81</v>
      </c>
      <c r="N28" s="49" t="s">
        <v>1065</v>
      </c>
      <c r="O28" s="49" t="s">
        <v>196</v>
      </c>
      <c r="P28" s="48" t="s">
        <v>1066</v>
      </c>
      <c r="Q28" s="970" t="s">
        <v>1072</v>
      </c>
      <c r="R28" s="49" t="s">
        <v>499</v>
      </c>
      <c r="S28" s="48" t="s">
        <v>1073</v>
      </c>
      <c r="T28" s="807">
        <v>46175</v>
      </c>
      <c r="U28" s="211">
        <v>46177</v>
      </c>
      <c r="V28" s="211"/>
      <c r="W28" s="176">
        <v>46196</v>
      </c>
      <c r="X28" s="213" t="s">
        <v>1074</v>
      </c>
      <c r="Y28" s="3" t="s">
        <v>999</v>
      </c>
    </row>
    <row r="29" s="3" customFormat="1" ht="27" hidden="1" customHeight="1" spans="1:25">
      <c r="A29" s="215">
        <f t="shared" si="2"/>
        <v>26</v>
      </c>
      <c r="B29" s="183" t="s">
        <v>1075</v>
      </c>
      <c r="C29" s="96"/>
      <c r="D29" s="293"/>
      <c r="E29" s="293"/>
      <c r="F29" s="217"/>
      <c r="G29" s="217"/>
      <c r="H29" s="217"/>
      <c r="I29" s="218"/>
      <c r="J29" s="95">
        <v>20</v>
      </c>
      <c r="K29" s="95"/>
      <c r="L29" s="219"/>
      <c r="M29" s="219"/>
      <c r="N29" s="219"/>
      <c r="O29" s="96"/>
      <c r="P29" s="97"/>
      <c r="Q29" s="96"/>
      <c r="R29" s="96"/>
      <c r="S29" s="183"/>
      <c r="T29" s="217"/>
      <c r="U29" s="222"/>
      <c r="V29" s="222"/>
      <c r="W29" s="97">
        <v>46122</v>
      </c>
      <c r="X29" s="224"/>
    </row>
    <row r="30" s="3" customFormat="1" ht="27" customHeight="1" spans="1:25">
      <c r="A30" s="215">
        <f t="shared" si="2"/>
        <v>27</v>
      </c>
      <c r="B30" s="269" t="s">
        <v>1076</v>
      </c>
      <c r="C30" s="270" t="s">
        <v>114</v>
      </c>
      <c r="D30" s="272" t="s">
        <v>1077</v>
      </c>
      <c r="E30" s="272"/>
      <c r="F30" s="273">
        <v>46241</v>
      </c>
      <c r="G30" s="273">
        <v>46371</v>
      </c>
      <c r="H30" s="273"/>
      <c r="I30" s="274"/>
      <c r="J30" s="276">
        <v>305</v>
      </c>
      <c r="K30" s="95">
        <v>1</v>
      </c>
      <c r="L30" s="219"/>
      <c r="M30" s="219" t="s">
        <v>81</v>
      </c>
      <c r="N30" s="219"/>
      <c r="O30" s="96" t="s">
        <v>196</v>
      </c>
      <c r="P30" s="97"/>
      <c r="Q30" s="96"/>
      <c r="R30" s="96"/>
      <c r="S30" s="183" t="s">
        <v>1078</v>
      </c>
      <c r="T30" s="217"/>
      <c r="U30" s="222"/>
      <c r="V30" s="222"/>
      <c r="W30" s="97"/>
      <c r="X30" s="224"/>
      <c r="Y30" s="3" t="s">
        <v>1079</v>
      </c>
    </row>
    <row r="31" s="3" customFormat="1" ht="27" customHeight="1" spans="1:25">
      <c r="A31" s="1034"/>
      <c r="B31" s="183"/>
      <c r="C31" s="96"/>
      <c r="D31" s="293"/>
      <c r="E31" s="293"/>
      <c r="F31" s="217"/>
      <c r="G31" s="217"/>
      <c r="H31" s="217"/>
      <c r="I31" s="218"/>
      <c r="J31" s="95"/>
      <c r="K31" s="95"/>
      <c r="L31" s="219"/>
      <c r="M31" s="219"/>
      <c r="N31" s="219"/>
      <c r="O31" s="96"/>
      <c r="P31" s="97"/>
      <c r="Q31" s="96"/>
      <c r="R31" s="96"/>
      <c r="S31" s="183"/>
      <c r="T31" s="217"/>
      <c r="U31" s="222"/>
      <c r="V31" s="222"/>
      <c r="W31" s="97"/>
      <c r="X31" s="224"/>
    </row>
    <row r="32" s="3" customFormat="1" ht="17.1" customHeight="1" spans="1:25">
      <c r="A32" s="1035" t="s">
        <v>66</v>
      </c>
      <c r="B32" s="1036"/>
      <c r="C32" s="1036"/>
      <c r="D32" s="1036"/>
      <c r="E32" s="1036"/>
      <c r="F32" s="1036"/>
      <c r="G32" s="1036"/>
      <c r="H32" s="1036"/>
      <c r="I32" s="1037"/>
      <c r="J32" s="95">
        <f>SUM(J4:J31)</f>
        <v>31225</v>
      </c>
      <c r="K32" s="95"/>
      <c r="L32" s="95"/>
      <c r="M32" s="95"/>
      <c r="N32" s="95"/>
      <c r="O32" s="96"/>
      <c r="P32" s="96"/>
      <c r="Q32" s="96"/>
      <c r="R32" s="96"/>
      <c r="S32" s="96"/>
      <c r="T32" s="97"/>
      <c r="U32" s="97"/>
      <c r="V32" s="97"/>
      <c r="W32" s="97"/>
      <c r="X32" s="239"/>
    </row>
    <row r="33" s="4" customFormat="1" ht="17.1" customHeight="1" spans="1:24">
      <c r="A33" s="760"/>
      <c r="B33" s="761"/>
      <c r="C33" s="761"/>
      <c r="D33" s="761"/>
      <c r="E33" s="761"/>
      <c r="F33" s="761"/>
      <c r="G33" s="761"/>
      <c r="H33" s="761"/>
      <c r="I33" s="762"/>
      <c r="J33" s="1038">
        <f>8082+10638+9300+1200+1080+620</f>
        <v>30920</v>
      </c>
      <c r="K33" s="100"/>
      <c r="L33" s="147"/>
      <c r="M33" s="147"/>
      <c r="N33" s="147"/>
      <c r="O33" s="100"/>
      <c r="P33" s="100"/>
      <c r="Q33" s="100"/>
      <c r="R33" s="100"/>
      <c r="S33" s="100"/>
      <c r="T33" s="100"/>
      <c r="U33" s="100"/>
      <c r="V33" s="100"/>
      <c r="W33" s="100"/>
      <c r="X33" s="240"/>
    </row>
    <row r="34" s="4" customFormat="1" ht="19.5" customHeight="1" spans="1:24">
      <c r="A34" s="241" t="s">
        <v>67</v>
      </c>
      <c r="B34" s="242"/>
      <c r="C34" s="242"/>
      <c r="D34" s="242"/>
      <c r="E34" s="242"/>
      <c r="F34" s="242"/>
      <c r="G34" s="242"/>
      <c r="H34" s="242"/>
      <c r="I34" s="243"/>
      <c r="J34" s="244">
        <f>J33-J32</f>
        <v>-305</v>
      </c>
      <c r="K34" s="245"/>
      <c r="L34" s="106"/>
      <c r="M34" s="106"/>
      <c r="N34" s="106"/>
      <c r="O34" s="106"/>
      <c r="P34" s="106"/>
      <c r="Q34" s="106"/>
      <c r="R34" s="106"/>
      <c r="S34" s="106"/>
      <c r="T34" s="107"/>
      <c r="U34" s="107"/>
      <c r="V34" s="107"/>
      <c r="W34" s="107"/>
      <c r="X34" s="246"/>
    </row>
    <row r="35" spans="1:24">
      <c r="B35" s="110" t="s">
        <v>68</v>
      </c>
      <c r="C35" s="110"/>
      <c r="D35" s="111"/>
      <c r="E35" s="111"/>
      <c r="F35" s="111"/>
      <c r="G35" s="111"/>
      <c r="H35" s="111"/>
      <c r="I35" s="111"/>
    </row>
  </sheetData>
  <autoFilter xmlns:etc="http://www.wps.cn/officeDocument/2017/etCustomData" ref="A3:Y43" etc:filterBottomFollowUsedRange="0">
    <filterColumn colId="22">
      <filters blank="1"/>
    </filterColumn>
    <sortState ref="A3:Y43">
      <sortCondition ref="H3"/>
    </sortState>
    <extLst/>
  </autoFilter>
  <mergeCells count="28">
    <mergeCell ref="A1:S1"/>
    <mergeCell ref="T1:V1"/>
    <mergeCell ref="W1:X1"/>
    <mergeCell ref="L2:N2"/>
    <mergeCell ref="A32:I32"/>
    <mergeCell ref="A33:I33"/>
    <mergeCell ref="A34:I3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</mergeCells>
  <conditionalFormatting sqref="L34:S34">
    <cfRule type="cellIs" dxfId="0" priority="1" operator="lessThan">
      <formula>0</formula>
    </cfRule>
  </conditionalFormatting>
  <printOptions horizontalCentered="1"/>
  <pageMargins left="0.118055555555556" right="0.118055555555556" top="0.432638888888889" bottom="0.354166666666667" header="0.313888888888889" footer="0.313888888888889"/>
  <pageSetup paperSize="9" scale="68" orientation="landscape"/>
  <headerFooter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A120"/>
  <sheetViews>
    <sheetView workbookViewId="0">
      <pane xSplit="10" ySplit="3" topLeftCell="K96" activePane="bottomRight" state="frozen"/>
      <selection/>
      <selection pane="topRight"/>
      <selection pane="bottomLeft"/>
      <selection pane="bottomRight" activeCell="J109" sqref="J109"/>
    </sheetView>
  </sheetViews>
  <sheetFormatPr defaultColWidth="9" defaultRowHeight="14.25"/>
  <cols>
    <col min="1" max="1" width="4" customWidth="1"/>
    <col min="2" max="2" width="10.375" customWidth="1"/>
    <col min="3" max="3" width="7.125" customWidth="1"/>
    <col min="4" max="4" width="13.875" customWidth="1"/>
    <col min="5" max="5" width="10.375" customWidth="1"/>
    <col min="6" max="8" width="6.125" customWidth="1"/>
    <col min="9" max="9" width="5.375" customWidth="1"/>
    <col min="11" max="11" width="4.875" customWidth="1"/>
    <col min="12" max="12" width="7.625" customWidth="1"/>
    <col min="13" max="13" width="5.125" customWidth="1"/>
    <col min="14" max="18" width="5.625" customWidth="1"/>
    <col min="19" max="19" width="7.375" customWidth="1"/>
    <col min="20" max="20" width="22.75" customWidth="1"/>
    <col min="21" max="23" width="9" customWidth="1"/>
    <col min="24" max="24" width="9" style="980" customWidth="1"/>
    <col min="25" max="25" width="16.125" customWidth="1"/>
    <col min="26" max="26" width="17.625" customWidth="1"/>
  </cols>
  <sheetData>
    <row r="1" ht="50.25" customHeight="1" spans="1:27">
      <c r="A1" s="329" t="s">
        <v>1080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30" t="s">
        <v>1</v>
      </c>
      <c r="V1" s="330"/>
      <c r="W1" s="330"/>
      <c r="X1" s="331">
        <f ca="1">TODAY()</f>
        <v>46277</v>
      </c>
      <c r="Y1" s="841"/>
      <c r="Z1" s="193"/>
    </row>
    <row r="2" s="190" customFormat="1" ht="24.75" customHeight="1" spans="1:27">
      <c r="A2" s="15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9" t="s">
        <v>14</v>
      </c>
      <c r="M2" s="21" t="s">
        <v>995</v>
      </c>
      <c r="N2" s="21" t="s">
        <v>71</v>
      </c>
      <c r="O2" s="473" t="s">
        <v>1081</v>
      </c>
      <c r="P2" s="473" t="s">
        <v>18</v>
      </c>
      <c r="Q2" s="473" t="s">
        <v>1082</v>
      </c>
      <c r="R2" s="21" t="s">
        <v>19</v>
      </c>
      <c r="S2" s="21" t="s">
        <v>20</v>
      </c>
      <c r="T2" s="24" t="s">
        <v>21</v>
      </c>
      <c r="U2" s="986" t="s">
        <v>22</v>
      </c>
      <c r="V2" s="204" t="s">
        <v>23</v>
      </c>
      <c r="W2" s="204" t="s">
        <v>24</v>
      </c>
      <c r="X2" s="987" t="s">
        <v>25</v>
      </c>
      <c r="Y2" s="842" t="s">
        <v>26</v>
      </c>
      <c r="Z2" s="206"/>
    </row>
    <row r="3" s="190" customFormat="1" ht="24.75" customHeight="1" spans="1:27">
      <c r="A3" s="15"/>
      <c r="B3" s="15"/>
      <c r="C3" s="15"/>
      <c r="D3" s="15"/>
      <c r="E3" s="29"/>
      <c r="F3" s="15"/>
      <c r="G3" s="15"/>
      <c r="H3" s="15"/>
      <c r="I3" s="15"/>
      <c r="J3" s="15"/>
      <c r="K3" s="15"/>
      <c r="L3" s="19"/>
      <c r="M3" s="21"/>
      <c r="N3" s="21"/>
      <c r="O3" s="473"/>
      <c r="P3" s="473"/>
      <c r="Q3" s="473"/>
      <c r="R3" s="21"/>
      <c r="S3" s="21"/>
      <c r="T3" s="24"/>
      <c r="U3" s="986"/>
      <c r="V3" s="204"/>
      <c r="W3" s="204"/>
      <c r="X3" s="987"/>
      <c r="Y3" s="842"/>
      <c r="Z3" s="206" t="s">
        <v>65</v>
      </c>
      <c r="AA3" s="206" t="s">
        <v>382</v>
      </c>
    </row>
    <row r="4" s="255" customFormat="1" ht="28.5" hidden="1" customHeight="1" spans="1:27">
      <c r="A4" s="971">
        <f>ROW()-3</f>
        <v>1</v>
      </c>
      <c r="B4" s="971" t="s">
        <v>209</v>
      </c>
      <c r="C4" s="971" t="s">
        <v>909</v>
      </c>
      <c r="D4" s="971" t="s">
        <v>1083</v>
      </c>
      <c r="E4" s="971"/>
      <c r="F4" s="989">
        <v>45924</v>
      </c>
      <c r="G4" s="989">
        <v>46013</v>
      </c>
      <c r="H4" s="989">
        <v>46013</v>
      </c>
      <c r="I4" s="989">
        <v>45967</v>
      </c>
      <c r="J4" s="971">
        <v>1800</v>
      </c>
      <c r="K4" s="971">
        <v>1</v>
      </c>
      <c r="L4" s="971" t="s">
        <v>1084</v>
      </c>
      <c r="M4" s="971" t="s">
        <v>196</v>
      </c>
      <c r="N4" s="35" t="s">
        <v>1085</v>
      </c>
      <c r="O4" s="35" t="s">
        <v>1085</v>
      </c>
      <c r="P4" s="35" t="s">
        <v>1086</v>
      </c>
      <c r="Q4" s="35" t="s">
        <v>1086</v>
      </c>
      <c r="R4" s="35" t="s">
        <v>1087</v>
      </c>
      <c r="S4" s="971" t="s">
        <v>1084</v>
      </c>
      <c r="T4" s="35" t="s">
        <v>1088</v>
      </c>
      <c r="U4" s="990">
        <v>46011</v>
      </c>
      <c r="V4" s="991">
        <v>46009</v>
      </c>
      <c r="W4" s="35"/>
      <c r="X4" s="991">
        <v>46026</v>
      </c>
      <c r="Y4" s="1288" t="s">
        <v>1089</v>
      </c>
      <c r="Z4" s="255" t="s">
        <v>1090</v>
      </c>
    </row>
    <row r="5" s="255" customFormat="1" ht="28.5" hidden="1" customHeight="1" spans="1:27">
      <c r="A5" s="971">
        <f>ROW()-3</f>
        <v>2</v>
      </c>
      <c r="B5" s="971" t="s">
        <v>209</v>
      </c>
      <c r="C5" s="971" t="s">
        <v>909</v>
      </c>
      <c r="D5" s="971" t="s">
        <v>1091</v>
      </c>
      <c r="E5" s="971"/>
      <c r="F5" s="989">
        <v>45924</v>
      </c>
      <c r="G5" s="989">
        <v>46015</v>
      </c>
      <c r="H5" s="989">
        <v>46015</v>
      </c>
      <c r="I5" s="989">
        <v>45967</v>
      </c>
      <c r="J5" s="971">
        <v>2340</v>
      </c>
      <c r="K5" s="971">
        <v>1</v>
      </c>
      <c r="L5" s="971" t="s">
        <v>1084</v>
      </c>
      <c r="M5" s="971" t="s">
        <v>196</v>
      </c>
      <c r="N5" s="35" t="s">
        <v>1085</v>
      </c>
      <c r="O5" s="35" t="s">
        <v>1085</v>
      </c>
      <c r="P5" s="35" t="s">
        <v>1086</v>
      </c>
      <c r="Q5" s="35" t="s">
        <v>1086</v>
      </c>
      <c r="R5" s="35" t="s">
        <v>1087</v>
      </c>
      <c r="S5" s="971" t="s">
        <v>1084</v>
      </c>
      <c r="T5" s="35" t="s">
        <v>1088</v>
      </c>
      <c r="U5" s="990">
        <v>46013</v>
      </c>
      <c r="V5" s="991">
        <v>46009</v>
      </c>
      <c r="W5" s="35"/>
      <c r="X5" s="991">
        <v>46027</v>
      </c>
      <c r="Y5" s="1288" t="s">
        <v>1092</v>
      </c>
      <c r="Z5" s="255" t="s">
        <v>1090</v>
      </c>
    </row>
    <row r="6" s="255" customFormat="1" ht="28.5" hidden="1" customHeight="1" spans="1:27">
      <c r="A6" s="971">
        <f>ROW()-3</f>
        <v>3</v>
      </c>
      <c r="B6" s="971" t="s">
        <v>209</v>
      </c>
      <c r="C6" s="971" t="s">
        <v>909</v>
      </c>
      <c r="D6" s="971" t="s">
        <v>1093</v>
      </c>
      <c r="E6" s="971"/>
      <c r="F6" s="989">
        <v>45924</v>
      </c>
      <c r="G6" s="989">
        <v>46015</v>
      </c>
      <c r="H6" s="989">
        <v>46015</v>
      </c>
      <c r="I6" s="989">
        <v>45967</v>
      </c>
      <c r="J6" s="971">
        <v>1800</v>
      </c>
      <c r="K6" s="971">
        <v>1</v>
      </c>
      <c r="L6" s="971" t="s">
        <v>1084</v>
      </c>
      <c r="M6" s="971" t="s">
        <v>196</v>
      </c>
      <c r="N6" s="35" t="s">
        <v>1085</v>
      </c>
      <c r="O6" s="35" t="s">
        <v>1085</v>
      </c>
      <c r="P6" s="35" t="s">
        <v>1086</v>
      </c>
      <c r="Q6" s="35" t="s">
        <v>1086</v>
      </c>
      <c r="R6" s="35" t="s">
        <v>1087</v>
      </c>
      <c r="S6" s="971" t="s">
        <v>1084</v>
      </c>
      <c r="T6" s="35" t="s">
        <v>1088</v>
      </c>
      <c r="U6" s="990">
        <v>46013</v>
      </c>
      <c r="V6" s="991">
        <v>46009</v>
      </c>
      <c r="W6" s="35"/>
      <c r="X6" s="991">
        <v>46036</v>
      </c>
      <c r="Y6" s="1288" t="s">
        <v>1094</v>
      </c>
      <c r="Z6" s="255" t="s">
        <v>1090</v>
      </c>
    </row>
    <row r="7" s="255" customFormat="1" ht="28.5" hidden="1" customHeight="1" spans="1:27">
      <c r="A7" s="971">
        <f>ROW()-3</f>
        <v>4</v>
      </c>
      <c r="B7" s="35" t="s">
        <v>1095</v>
      </c>
      <c r="C7" s="971" t="s">
        <v>909</v>
      </c>
      <c r="D7" s="971" t="s">
        <v>1096</v>
      </c>
      <c r="E7" s="971"/>
      <c r="F7" s="989">
        <v>45924</v>
      </c>
      <c r="G7" s="989">
        <v>46016</v>
      </c>
      <c r="H7" s="989">
        <v>46016</v>
      </c>
      <c r="I7" s="989">
        <v>45961</v>
      </c>
      <c r="J7" s="971">
        <v>834</v>
      </c>
      <c r="K7" s="971">
        <v>1</v>
      </c>
      <c r="L7" s="971" t="s">
        <v>1084</v>
      </c>
      <c r="M7" s="971" t="s">
        <v>196</v>
      </c>
      <c r="N7" s="35" t="s">
        <v>1085</v>
      </c>
      <c r="O7" s="35" t="s">
        <v>1085</v>
      </c>
      <c r="P7" s="35" t="s">
        <v>1086</v>
      </c>
      <c r="Q7" s="35" t="s">
        <v>1086</v>
      </c>
      <c r="R7" s="35" t="s">
        <v>1097</v>
      </c>
      <c r="S7" s="971" t="s">
        <v>1084</v>
      </c>
      <c r="T7" s="35" t="s">
        <v>1098</v>
      </c>
      <c r="U7" s="990">
        <v>46014</v>
      </c>
      <c r="V7" s="991">
        <v>46014</v>
      </c>
      <c r="W7" s="35"/>
      <c r="X7" s="991">
        <v>46027</v>
      </c>
      <c r="Y7" s="1288" t="s">
        <v>1099</v>
      </c>
      <c r="Z7" s="255" t="s">
        <v>1100</v>
      </c>
    </row>
    <row r="8" s="255" customFormat="1" ht="28.5" hidden="1" customHeight="1" spans="1:27">
      <c r="A8" s="971">
        <f>ROW()-3</f>
        <v>5</v>
      </c>
      <c r="B8" s="971" t="s">
        <v>209</v>
      </c>
      <c r="C8" s="971" t="s">
        <v>909</v>
      </c>
      <c r="D8" s="971" t="s">
        <v>1101</v>
      </c>
      <c r="E8" s="971"/>
      <c r="F8" s="989">
        <v>45924</v>
      </c>
      <c r="G8" s="989">
        <v>46019</v>
      </c>
      <c r="H8" s="989">
        <v>46019</v>
      </c>
      <c r="I8" s="989">
        <v>45967</v>
      </c>
      <c r="J8" s="971">
        <v>1800</v>
      </c>
      <c r="K8" s="971">
        <v>1</v>
      </c>
      <c r="L8" s="971" t="s">
        <v>1084</v>
      </c>
      <c r="M8" s="971" t="s">
        <v>196</v>
      </c>
      <c r="N8" s="35" t="s">
        <v>1085</v>
      </c>
      <c r="O8" s="35" t="s">
        <v>1085</v>
      </c>
      <c r="P8" s="35" t="s">
        <v>1086</v>
      </c>
      <c r="Q8" s="35" t="s">
        <v>1086</v>
      </c>
      <c r="R8" s="35" t="s">
        <v>1087</v>
      </c>
      <c r="S8" s="971" t="s">
        <v>1084</v>
      </c>
      <c r="T8" s="35" t="s">
        <v>1088</v>
      </c>
      <c r="U8" s="990">
        <v>46017</v>
      </c>
      <c r="V8" s="991">
        <v>46016</v>
      </c>
      <c r="W8" s="35"/>
      <c r="X8" s="991">
        <v>46034</v>
      </c>
      <c r="Y8" s="1288" t="s">
        <v>1102</v>
      </c>
      <c r="Z8" s="255" t="s">
        <v>1090</v>
      </c>
    </row>
    <row r="9" s="255" customFormat="1" ht="28.5" hidden="1" customHeight="1" spans="1:27">
      <c r="A9" s="971">
        <f t="shared" ref="A9:A24" si="0">ROW()-3</f>
        <v>6</v>
      </c>
      <c r="B9" s="35" t="s">
        <v>1095</v>
      </c>
      <c r="C9" s="971" t="s">
        <v>909</v>
      </c>
      <c r="D9" s="971" t="s">
        <v>1103</v>
      </c>
      <c r="E9" s="971"/>
      <c r="F9" s="989">
        <v>45924</v>
      </c>
      <c r="G9" s="989">
        <v>46021</v>
      </c>
      <c r="H9" s="989">
        <v>46021</v>
      </c>
      <c r="I9" s="989">
        <v>45961</v>
      </c>
      <c r="J9" s="971">
        <v>1112</v>
      </c>
      <c r="K9" s="971">
        <v>1</v>
      </c>
      <c r="L9" s="971" t="s">
        <v>1084</v>
      </c>
      <c r="M9" s="971" t="s">
        <v>196</v>
      </c>
      <c r="N9" s="35" t="s">
        <v>1085</v>
      </c>
      <c r="O9" s="35" t="s">
        <v>1085</v>
      </c>
      <c r="P9" s="35" t="s">
        <v>1086</v>
      </c>
      <c r="Q9" s="35" t="s">
        <v>1086</v>
      </c>
      <c r="R9" s="35" t="s">
        <v>1097</v>
      </c>
      <c r="S9" s="971" t="s">
        <v>1084</v>
      </c>
      <c r="T9" s="35" t="s">
        <v>1098</v>
      </c>
      <c r="U9" s="990">
        <v>46019</v>
      </c>
      <c r="V9" s="991">
        <v>46021</v>
      </c>
      <c r="W9" s="35"/>
      <c r="X9" s="991">
        <v>46034</v>
      </c>
      <c r="Y9" s="1288" t="s">
        <v>1104</v>
      </c>
      <c r="Z9" s="255" t="s">
        <v>1100</v>
      </c>
    </row>
    <row r="10" s="255" customFormat="1" ht="28.5" hidden="1" customHeight="1" spans="1:27">
      <c r="A10" s="971">
        <f t="shared" si="0"/>
        <v>7</v>
      </c>
      <c r="B10" s="35" t="s">
        <v>1095</v>
      </c>
      <c r="C10" s="971" t="s">
        <v>909</v>
      </c>
      <c r="D10" s="971" t="s">
        <v>1105</v>
      </c>
      <c r="E10" s="971"/>
      <c r="F10" s="989">
        <v>45924</v>
      </c>
      <c r="G10" s="989">
        <v>46021</v>
      </c>
      <c r="H10" s="989">
        <v>46021</v>
      </c>
      <c r="I10" s="989">
        <v>45961</v>
      </c>
      <c r="J10" s="971">
        <v>982</v>
      </c>
      <c r="K10" s="971">
        <v>1</v>
      </c>
      <c r="L10" s="971" t="s">
        <v>1084</v>
      </c>
      <c r="M10" s="971" t="s">
        <v>196</v>
      </c>
      <c r="N10" s="35" t="s">
        <v>1085</v>
      </c>
      <c r="O10" s="35" t="s">
        <v>1085</v>
      </c>
      <c r="P10" s="35" t="s">
        <v>1086</v>
      </c>
      <c r="Q10" s="35" t="s">
        <v>1086</v>
      </c>
      <c r="R10" s="35" t="s">
        <v>1097</v>
      </c>
      <c r="S10" s="971" t="s">
        <v>1084</v>
      </c>
      <c r="T10" s="35" t="s">
        <v>1098</v>
      </c>
      <c r="U10" s="990">
        <v>46019</v>
      </c>
      <c r="V10" s="991">
        <v>46021</v>
      </c>
      <c r="W10" s="35"/>
      <c r="X10" s="991">
        <v>46027</v>
      </c>
      <c r="Y10" s="1288" t="s">
        <v>1106</v>
      </c>
      <c r="Z10" s="255" t="s">
        <v>1100</v>
      </c>
    </row>
    <row r="11" s="255" customFormat="1" ht="28.5" hidden="1" customHeight="1" spans="1:27">
      <c r="A11" s="971">
        <f t="shared" si="0"/>
        <v>8</v>
      </c>
      <c r="B11" s="35" t="s">
        <v>1095</v>
      </c>
      <c r="C11" s="971" t="s">
        <v>909</v>
      </c>
      <c r="D11" s="971" t="s">
        <v>1107</v>
      </c>
      <c r="E11" s="971"/>
      <c r="F11" s="989">
        <v>45924</v>
      </c>
      <c r="G11" s="989">
        <v>46024</v>
      </c>
      <c r="H11" s="989">
        <v>46024</v>
      </c>
      <c r="I11" s="989">
        <v>45961</v>
      </c>
      <c r="J11" s="971">
        <v>1344</v>
      </c>
      <c r="K11" s="971">
        <v>1</v>
      </c>
      <c r="L11" s="971" t="s">
        <v>1084</v>
      </c>
      <c r="M11" s="971" t="s">
        <v>196</v>
      </c>
      <c r="N11" s="35" t="s">
        <v>1085</v>
      </c>
      <c r="O11" s="35" t="s">
        <v>1085</v>
      </c>
      <c r="P11" s="35" t="s">
        <v>1086</v>
      </c>
      <c r="Q11" s="35" t="s">
        <v>1086</v>
      </c>
      <c r="R11" s="35" t="s">
        <v>1097</v>
      </c>
      <c r="S11" s="971" t="s">
        <v>1084</v>
      </c>
      <c r="T11" s="35" t="s">
        <v>1098</v>
      </c>
      <c r="U11" s="990">
        <v>46021</v>
      </c>
      <c r="V11" s="991">
        <v>46021</v>
      </c>
      <c r="W11" s="35"/>
      <c r="X11" s="991">
        <v>46026</v>
      </c>
      <c r="Y11" s="1288" t="s">
        <v>1108</v>
      </c>
      <c r="Z11" s="255" t="s">
        <v>1100</v>
      </c>
    </row>
    <row r="12" s="255" customFormat="1" ht="28.5" hidden="1" customHeight="1" spans="1:27">
      <c r="A12" s="971">
        <f t="shared" si="0"/>
        <v>9</v>
      </c>
      <c r="B12" s="35" t="s">
        <v>1095</v>
      </c>
      <c r="C12" s="971" t="s">
        <v>909</v>
      </c>
      <c r="D12" s="971" t="s">
        <v>1109</v>
      </c>
      <c r="E12" s="971"/>
      <c r="F12" s="989">
        <v>45924</v>
      </c>
      <c r="G12" s="989">
        <v>46027</v>
      </c>
      <c r="H12" s="989">
        <v>46027</v>
      </c>
      <c r="I12" s="989">
        <v>45961</v>
      </c>
      <c r="J12" s="971">
        <v>1542</v>
      </c>
      <c r="K12" s="971">
        <v>1</v>
      </c>
      <c r="L12" s="971" t="s">
        <v>1084</v>
      </c>
      <c r="M12" s="971" t="s">
        <v>196</v>
      </c>
      <c r="N12" s="35" t="s">
        <v>1085</v>
      </c>
      <c r="O12" s="35" t="s">
        <v>1085</v>
      </c>
      <c r="P12" s="35" t="s">
        <v>1086</v>
      </c>
      <c r="Q12" s="35" t="s">
        <v>1086</v>
      </c>
      <c r="R12" s="35" t="s">
        <v>1097</v>
      </c>
      <c r="S12" s="971" t="s">
        <v>1084</v>
      </c>
      <c r="T12" s="35" t="s">
        <v>1098</v>
      </c>
      <c r="U12" s="990">
        <v>46025</v>
      </c>
      <c r="V12" s="991">
        <v>46027</v>
      </c>
      <c r="W12" s="35"/>
      <c r="X12" s="991">
        <v>46036</v>
      </c>
      <c r="Y12" s="1288" t="s">
        <v>1110</v>
      </c>
      <c r="Z12" s="255" t="s">
        <v>1100</v>
      </c>
    </row>
    <row r="13" s="255" customFormat="1" ht="28.5" hidden="1" customHeight="1" spans="1:27">
      <c r="A13" s="971">
        <f t="shared" si="0"/>
        <v>10</v>
      </c>
      <c r="B13" s="971" t="s">
        <v>209</v>
      </c>
      <c r="C13" s="971" t="s">
        <v>909</v>
      </c>
      <c r="D13" s="971" t="s">
        <v>1111</v>
      </c>
      <c r="E13" s="971"/>
      <c r="F13" s="989">
        <v>45924</v>
      </c>
      <c r="G13" s="989">
        <v>46027</v>
      </c>
      <c r="H13" s="989">
        <v>46027</v>
      </c>
      <c r="I13" s="989">
        <v>45967</v>
      </c>
      <c r="J13" s="971">
        <v>1800</v>
      </c>
      <c r="K13" s="971">
        <v>1</v>
      </c>
      <c r="L13" s="971" t="s">
        <v>1084</v>
      </c>
      <c r="M13" s="971" t="s">
        <v>196</v>
      </c>
      <c r="N13" s="35" t="s">
        <v>1085</v>
      </c>
      <c r="O13" s="35" t="s">
        <v>1085</v>
      </c>
      <c r="P13" s="35" t="s">
        <v>1086</v>
      </c>
      <c r="Q13" s="35" t="s">
        <v>1086</v>
      </c>
      <c r="R13" s="35" t="s">
        <v>1087</v>
      </c>
      <c r="S13" s="971" t="s">
        <v>1084</v>
      </c>
      <c r="T13" s="35" t="s">
        <v>1088</v>
      </c>
      <c r="U13" s="990">
        <v>46025</v>
      </c>
      <c r="V13" s="991">
        <v>46027</v>
      </c>
      <c r="W13" s="35"/>
      <c r="X13" s="991">
        <v>46045</v>
      </c>
      <c r="Y13" s="1288" t="s">
        <v>1112</v>
      </c>
      <c r="Z13" s="255" t="s">
        <v>1090</v>
      </c>
    </row>
    <row r="14" s="255" customFormat="1" ht="28.5" hidden="1" customHeight="1" spans="1:27">
      <c r="A14" s="971">
        <f t="shared" si="0"/>
        <v>11</v>
      </c>
      <c r="B14" s="971" t="s">
        <v>209</v>
      </c>
      <c r="C14" s="971" t="s">
        <v>909</v>
      </c>
      <c r="D14" s="971" t="s">
        <v>1113</v>
      </c>
      <c r="E14" s="971"/>
      <c r="F14" s="989">
        <v>45924</v>
      </c>
      <c r="G14" s="989">
        <v>46029</v>
      </c>
      <c r="H14" s="989">
        <v>46029</v>
      </c>
      <c r="I14" s="989">
        <v>45967</v>
      </c>
      <c r="J14" s="971">
        <v>1800</v>
      </c>
      <c r="K14" s="971">
        <v>1</v>
      </c>
      <c r="L14" s="971" t="s">
        <v>1084</v>
      </c>
      <c r="M14" s="971" t="s">
        <v>196</v>
      </c>
      <c r="N14" s="35" t="s">
        <v>1085</v>
      </c>
      <c r="O14" s="35" t="s">
        <v>1085</v>
      </c>
      <c r="P14" s="35" t="s">
        <v>1086</v>
      </c>
      <c r="Q14" s="35" t="s">
        <v>1086</v>
      </c>
      <c r="R14" s="35" t="s">
        <v>1087</v>
      </c>
      <c r="S14" s="971" t="s">
        <v>1084</v>
      </c>
      <c r="T14" s="35" t="s">
        <v>1088</v>
      </c>
      <c r="U14" s="990">
        <v>46027</v>
      </c>
      <c r="V14" s="991">
        <v>46027</v>
      </c>
      <c r="W14" s="35"/>
      <c r="X14" s="991">
        <v>46039</v>
      </c>
      <c r="Y14" s="1288" t="s">
        <v>1114</v>
      </c>
      <c r="Z14" s="255" t="s">
        <v>1090</v>
      </c>
    </row>
    <row r="15" s="255" customFormat="1" ht="28.5" hidden="1" customHeight="1" spans="1:27">
      <c r="A15" s="971">
        <f t="shared" si="0"/>
        <v>12</v>
      </c>
      <c r="B15" s="35" t="s">
        <v>1095</v>
      </c>
      <c r="C15" s="971" t="s">
        <v>909</v>
      </c>
      <c r="D15" s="971" t="s">
        <v>1115</v>
      </c>
      <c r="E15" s="971"/>
      <c r="F15" s="989">
        <v>45924</v>
      </c>
      <c r="G15" s="989">
        <v>46034</v>
      </c>
      <c r="H15" s="989">
        <v>46034</v>
      </c>
      <c r="I15" s="989">
        <v>45961</v>
      </c>
      <c r="J15" s="971">
        <v>1046</v>
      </c>
      <c r="K15" s="971">
        <v>1</v>
      </c>
      <c r="L15" s="971" t="s">
        <v>1084</v>
      </c>
      <c r="M15" s="971" t="s">
        <v>196</v>
      </c>
      <c r="N15" s="35" t="s">
        <v>1085</v>
      </c>
      <c r="O15" s="35" t="s">
        <v>1085</v>
      </c>
      <c r="P15" s="35" t="s">
        <v>1086</v>
      </c>
      <c r="Q15" s="35" t="s">
        <v>1086</v>
      </c>
      <c r="R15" s="35" t="s">
        <v>1097</v>
      </c>
      <c r="S15" s="971" t="s">
        <v>1084</v>
      </c>
      <c r="T15" s="35" t="s">
        <v>1098</v>
      </c>
      <c r="U15" s="990">
        <v>46032</v>
      </c>
      <c r="V15" s="991">
        <v>45666</v>
      </c>
      <c r="W15" s="35"/>
      <c r="X15" s="991">
        <v>46046</v>
      </c>
      <c r="Y15" s="1288" t="s">
        <v>1116</v>
      </c>
      <c r="Z15" s="255" t="s">
        <v>1100</v>
      </c>
    </row>
    <row r="16" s="255" customFormat="1" ht="28.5" hidden="1" customHeight="1" spans="1:27">
      <c r="A16" s="971">
        <f t="shared" si="0"/>
        <v>13</v>
      </c>
      <c r="B16" s="35" t="s">
        <v>1095</v>
      </c>
      <c r="C16" s="971" t="s">
        <v>909</v>
      </c>
      <c r="D16" s="971" t="s">
        <v>1117</v>
      </c>
      <c r="E16" s="971"/>
      <c r="F16" s="989">
        <v>45924</v>
      </c>
      <c r="G16" s="989">
        <v>46037</v>
      </c>
      <c r="H16" s="989">
        <v>46037</v>
      </c>
      <c r="I16" s="989">
        <v>45961</v>
      </c>
      <c r="J16" s="971">
        <v>996</v>
      </c>
      <c r="K16" s="971">
        <v>1</v>
      </c>
      <c r="L16" s="971" t="s">
        <v>1084</v>
      </c>
      <c r="M16" s="971" t="s">
        <v>196</v>
      </c>
      <c r="N16" s="35" t="s">
        <v>1085</v>
      </c>
      <c r="O16" s="35" t="s">
        <v>1085</v>
      </c>
      <c r="P16" s="35" t="s">
        <v>1086</v>
      </c>
      <c r="Q16" s="35" t="s">
        <v>1086</v>
      </c>
      <c r="R16" s="35" t="s">
        <v>1097</v>
      </c>
      <c r="S16" s="971" t="s">
        <v>1084</v>
      </c>
      <c r="T16" s="35" t="s">
        <v>1098</v>
      </c>
      <c r="U16" s="990">
        <v>46035</v>
      </c>
      <c r="V16" s="991">
        <v>46035</v>
      </c>
      <c r="W16" s="35"/>
      <c r="X16" s="991">
        <v>46046</v>
      </c>
      <c r="Y16" s="1288" t="s">
        <v>1118</v>
      </c>
      <c r="Z16" s="255" t="s">
        <v>1100</v>
      </c>
    </row>
    <row r="17" s="255" customFormat="1" ht="28.5" hidden="1" customHeight="1" spans="1:26">
      <c r="A17" s="971">
        <f t="shared" si="0"/>
        <v>14</v>
      </c>
      <c r="B17" s="971" t="s">
        <v>209</v>
      </c>
      <c r="C17" s="971" t="s">
        <v>909</v>
      </c>
      <c r="D17" s="971" t="s">
        <v>1119</v>
      </c>
      <c r="E17" s="971" t="s">
        <v>1120</v>
      </c>
      <c r="F17" s="989">
        <v>45924</v>
      </c>
      <c r="G17" s="989">
        <v>46059</v>
      </c>
      <c r="H17" s="989">
        <v>46059</v>
      </c>
      <c r="I17" s="989">
        <v>45967</v>
      </c>
      <c r="J17" s="971">
        <v>1980</v>
      </c>
      <c r="K17" s="971">
        <v>1</v>
      </c>
      <c r="L17" s="971" t="s">
        <v>1084</v>
      </c>
      <c r="M17" s="971" t="s">
        <v>196</v>
      </c>
      <c r="N17" s="35" t="s">
        <v>1085</v>
      </c>
      <c r="O17" s="35" t="s">
        <v>1085</v>
      </c>
      <c r="P17" s="35" t="s">
        <v>1086</v>
      </c>
      <c r="Q17" s="35" t="s">
        <v>1086</v>
      </c>
      <c r="R17" s="35" t="s">
        <v>1087</v>
      </c>
      <c r="S17" s="971" t="s">
        <v>1084</v>
      </c>
      <c r="T17" s="35" t="s">
        <v>1088</v>
      </c>
      <c r="U17" s="990">
        <v>46045</v>
      </c>
      <c r="V17" s="991">
        <v>46044</v>
      </c>
      <c r="W17" s="35"/>
      <c r="X17" s="991">
        <v>46056</v>
      </c>
      <c r="Y17" s="1288" t="s">
        <v>1121</v>
      </c>
      <c r="Z17" s="255" t="s">
        <v>1090</v>
      </c>
    </row>
    <row r="18" s="255" customFormat="1" ht="28.5" hidden="1" customHeight="1" spans="1:26">
      <c r="A18" s="971">
        <f t="shared" si="0"/>
        <v>15</v>
      </c>
      <c r="B18" s="971" t="s">
        <v>209</v>
      </c>
      <c r="C18" s="971" t="s">
        <v>909</v>
      </c>
      <c r="D18" s="971" t="s">
        <v>1122</v>
      </c>
      <c r="E18" s="971" t="s">
        <v>1120</v>
      </c>
      <c r="F18" s="989">
        <v>45924</v>
      </c>
      <c r="G18" s="989">
        <v>46059</v>
      </c>
      <c r="H18" s="989">
        <v>46059</v>
      </c>
      <c r="I18" s="989">
        <v>45967</v>
      </c>
      <c r="J18" s="971">
        <v>2520</v>
      </c>
      <c r="K18" s="971">
        <v>1</v>
      </c>
      <c r="L18" s="971" t="s">
        <v>1084</v>
      </c>
      <c r="M18" s="971" t="s">
        <v>196</v>
      </c>
      <c r="N18" s="35" t="s">
        <v>1085</v>
      </c>
      <c r="O18" s="35" t="s">
        <v>1085</v>
      </c>
      <c r="P18" s="35" t="s">
        <v>1086</v>
      </c>
      <c r="Q18" s="35" t="s">
        <v>1086</v>
      </c>
      <c r="R18" s="35" t="s">
        <v>1087</v>
      </c>
      <c r="S18" s="971" t="s">
        <v>1084</v>
      </c>
      <c r="T18" s="35" t="s">
        <v>1088</v>
      </c>
      <c r="U18" s="990">
        <v>46057</v>
      </c>
      <c r="V18" s="1015">
        <v>46056</v>
      </c>
      <c r="W18" s="35"/>
      <c r="X18" s="991">
        <v>46088</v>
      </c>
      <c r="Y18" s="1288" t="s">
        <v>1123</v>
      </c>
      <c r="Z18" s="255" t="s">
        <v>1090</v>
      </c>
    </row>
    <row r="19" s="255" customFormat="1" ht="28.5" hidden="1" customHeight="1" spans="1:26">
      <c r="A19" s="970">
        <f t="shared" si="0"/>
        <v>16</v>
      </c>
      <c r="B19" s="970" t="s">
        <v>209</v>
      </c>
      <c r="C19" s="970" t="s">
        <v>909</v>
      </c>
      <c r="D19" s="970" t="s">
        <v>1124</v>
      </c>
      <c r="E19" s="970" t="s">
        <v>1120</v>
      </c>
      <c r="F19" s="52">
        <v>45924</v>
      </c>
      <c r="G19" s="52">
        <v>46083</v>
      </c>
      <c r="H19" s="52">
        <v>46083</v>
      </c>
      <c r="I19" s="52">
        <v>45967</v>
      </c>
      <c r="J19" s="970">
        <v>1440</v>
      </c>
      <c r="K19" s="970">
        <v>1</v>
      </c>
      <c r="L19" s="970" t="s">
        <v>1084</v>
      </c>
      <c r="M19" s="970" t="s">
        <v>196</v>
      </c>
      <c r="N19" s="37" t="s">
        <v>1085</v>
      </c>
      <c r="O19" s="37" t="s">
        <v>1085</v>
      </c>
      <c r="P19" s="37" t="s">
        <v>1086</v>
      </c>
      <c r="Q19" s="37" t="s">
        <v>1086</v>
      </c>
      <c r="R19" s="37" t="s">
        <v>1087</v>
      </c>
      <c r="S19" s="970" t="s">
        <v>1084</v>
      </c>
      <c r="T19" s="37" t="s">
        <v>1088</v>
      </c>
      <c r="U19" s="807" t="s">
        <v>1125</v>
      </c>
      <c r="V19" s="807">
        <v>46056</v>
      </c>
      <c r="W19" s="37"/>
      <c r="X19" s="1015">
        <v>46092</v>
      </c>
      <c r="Y19" s="1289" t="s">
        <v>1126</v>
      </c>
      <c r="Z19" s="255" t="s">
        <v>1090</v>
      </c>
    </row>
    <row r="20" s="255" customFormat="1" ht="28.5" hidden="1" customHeight="1" spans="1:26">
      <c r="A20" s="971">
        <f t="shared" si="0"/>
        <v>17</v>
      </c>
      <c r="B20" s="971" t="s">
        <v>209</v>
      </c>
      <c r="C20" s="971" t="s">
        <v>909</v>
      </c>
      <c r="D20" s="971" t="s">
        <v>1127</v>
      </c>
      <c r="E20" s="971" t="s">
        <v>1120</v>
      </c>
      <c r="F20" s="989">
        <v>45993</v>
      </c>
      <c r="G20" s="989">
        <v>46096</v>
      </c>
      <c r="H20" s="989">
        <v>46096</v>
      </c>
      <c r="I20" s="989">
        <v>45994</v>
      </c>
      <c r="J20" s="971">
        <v>1080</v>
      </c>
      <c r="K20" s="971">
        <v>1</v>
      </c>
      <c r="L20" s="971" t="s">
        <v>436</v>
      </c>
      <c r="M20" s="971" t="s">
        <v>196</v>
      </c>
      <c r="N20" s="35" t="s">
        <v>1128</v>
      </c>
      <c r="O20" s="35" t="s">
        <v>1128</v>
      </c>
      <c r="P20" s="35" t="s">
        <v>1128</v>
      </c>
      <c r="Q20" s="35" t="s">
        <v>1129</v>
      </c>
      <c r="R20" s="35" t="s">
        <v>1036</v>
      </c>
      <c r="S20" s="971" t="s">
        <v>436</v>
      </c>
      <c r="T20" s="35" t="s">
        <v>1088</v>
      </c>
      <c r="U20" s="990">
        <v>46094</v>
      </c>
      <c r="V20" s="990">
        <v>46092</v>
      </c>
      <c r="W20" s="35"/>
      <c r="X20" s="1016">
        <v>46111</v>
      </c>
      <c r="Y20" s="1288" t="s">
        <v>1130</v>
      </c>
      <c r="Z20" s="255" t="s">
        <v>1090</v>
      </c>
    </row>
    <row r="21" s="255" customFormat="1" ht="28.5" hidden="1" customHeight="1" spans="1:26">
      <c r="A21" s="971">
        <f t="shared" si="0"/>
        <v>18</v>
      </c>
      <c r="B21" s="971" t="s">
        <v>209</v>
      </c>
      <c r="C21" s="971" t="s">
        <v>909</v>
      </c>
      <c r="D21" s="971" t="s">
        <v>1131</v>
      </c>
      <c r="E21" s="971" t="s">
        <v>1120</v>
      </c>
      <c r="F21" s="989">
        <v>45993</v>
      </c>
      <c r="G21" s="989">
        <v>46111</v>
      </c>
      <c r="H21" s="989">
        <v>46111</v>
      </c>
      <c r="I21" s="989">
        <v>45994</v>
      </c>
      <c r="J21" s="971">
        <v>1260</v>
      </c>
      <c r="K21" s="971">
        <v>1</v>
      </c>
      <c r="L21" s="971" t="s">
        <v>436</v>
      </c>
      <c r="M21" s="971" t="s">
        <v>196</v>
      </c>
      <c r="N21" s="35" t="s">
        <v>1128</v>
      </c>
      <c r="O21" s="35" t="s">
        <v>1128</v>
      </c>
      <c r="P21" s="35" t="s">
        <v>1128</v>
      </c>
      <c r="Q21" s="35" t="s">
        <v>1129</v>
      </c>
      <c r="R21" s="35" t="s">
        <v>1036</v>
      </c>
      <c r="S21" s="971" t="s">
        <v>436</v>
      </c>
      <c r="T21" s="35" t="s">
        <v>1088</v>
      </c>
      <c r="U21" s="990">
        <v>46108</v>
      </c>
      <c r="V21" s="807">
        <v>46100</v>
      </c>
      <c r="W21" s="35"/>
      <c r="X21" s="991">
        <v>46132</v>
      </c>
      <c r="Y21" s="1288" t="s">
        <v>1132</v>
      </c>
      <c r="Z21" s="255" t="s">
        <v>1090</v>
      </c>
    </row>
    <row r="22" s="255" customFormat="1" ht="28.5" hidden="1" customHeight="1" spans="1:26">
      <c r="A22" s="971">
        <f t="shared" si="0"/>
        <v>19</v>
      </c>
      <c r="B22" s="971" t="s">
        <v>209</v>
      </c>
      <c r="C22" s="971" t="s">
        <v>909</v>
      </c>
      <c r="D22" s="971" t="s">
        <v>1133</v>
      </c>
      <c r="E22" s="971" t="s">
        <v>1120</v>
      </c>
      <c r="F22" s="989">
        <v>45993</v>
      </c>
      <c r="G22" s="989">
        <v>46113</v>
      </c>
      <c r="H22" s="989">
        <v>46113</v>
      </c>
      <c r="I22" s="989">
        <v>45994</v>
      </c>
      <c r="J22" s="971">
        <v>1080</v>
      </c>
      <c r="K22" s="971">
        <v>1</v>
      </c>
      <c r="L22" s="971" t="s">
        <v>436</v>
      </c>
      <c r="M22" s="971" t="s">
        <v>196</v>
      </c>
      <c r="N22" s="35" t="s">
        <v>1128</v>
      </c>
      <c r="O22" s="35" t="s">
        <v>1128</v>
      </c>
      <c r="P22" s="35" t="s">
        <v>1128</v>
      </c>
      <c r="Q22" s="35" t="s">
        <v>1129</v>
      </c>
      <c r="R22" s="35" t="s">
        <v>1036</v>
      </c>
      <c r="S22" s="971" t="s">
        <v>436</v>
      </c>
      <c r="T22" s="35" t="s">
        <v>1088</v>
      </c>
      <c r="U22" s="990">
        <v>46111</v>
      </c>
      <c r="V22" s="807">
        <v>46100</v>
      </c>
      <c r="W22" s="35"/>
      <c r="X22" s="991">
        <v>46125</v>
      </c>
      <c r="Y22" s="1288" t="s">
        <v>1134</v>
      </c>
      <c r="Z22" s="255" t="s">
        <v>1090</v>
      </c>
    </row>
    <row r="23" s="255" customFormat="1" ht="28.5" hidden="1" customHeight="1" spans="1:26">
      <c r="A23" s="970">
        <f t="shared" si="0"/>
        <v>20</v>
      </c>
      <c r="B23" s="37" t="s">
        <v>1069</v>
      </c>
      <c r="C23" s="970" t="s">
        <v>114</v>
      </c>
      <c r="D23" s="970" t="s">
        <v>1070</v>
      </c>
      <c r="E23" s="50" t="s">
        <v>1071</v>
      </c>
      <c r="F23" s="52">
        <v>46361</v>
      </c>
      <c r="G23" s="52">
        <v>46175</v>
      </c>
      <c r="H23" s="52">
        <v>46175</v>
      </c>
      <c r="I23" s="52">
        <v>46091</v>
      </c>
      <c r="J23" s="970">
        <v>600</v>
      </c>
      <c r="K23" s="970">
        <v>1</v>
      </c>
      <c r="L23" s="970" t="s">
        <v>1135</v>
      </c>
      <c r="M23" s="970" t="s">
        <v>196</v>
      </c>
      <c r="N23" s="37" t="s">
        <v>1136</v>
      </c>
      <c r="O23" s="37" t="s">
        <v>1136</v>
      </c>
      <c r="P23" s="37" t="s">
        <v>1137</v>
      </c>
      <c r="Q23" s="37" t="s">
        <v>82</v>
      </c>
      <c r="R23" s="970" t="s">
        <v>1072</v>
      </c>
      <c r="S23" s="970" t="s">
        <v>1135</v>
      </c>
      <c r="T23" s="37" t="s">
        <v>1138</v>
      </c>
      <c r="U23" s="807">
        <v>46175</v>
      </c>
      <c r="V23" s="992">
        <v>46178</v>
      </c>
      <c r="W23" s="37"/>
      <c r="X23" s="1015">
        <v>46196</v>
      </c>
      <c r="Y23" s="970">
        <v>29556931</v>
      </c>
      <c r="Z23" s="255" t="s">
        <v>1100</v>
      </c>
    </row>
    <row r="24" s="255" customFormat="1" ht="28.5" hidden="1" customHeight="1" spans="1:26">
      <c r="A24" s="972">
        <f t="shared" si="0"/>
        <v>21</v>
      </c>
      <c r="B24" s="972" t="s">
        <v>1075</v>
      </c>
      <c r="C24" s="972"/>
      <c r="D24" s="972"/>
      <c r="E24" s="972"/>
      <c r="F24" s="972"/>
      <c r="G24" s="972"/>
      <c r="H24" s="972"/>
      <c r="I24" s="972"/>
      <c r="J24" s="972">
        <v>20</v>
      </c>
      <c r="K24" s="972"/>
      <c r="L24" s="993"/>
      <c r="M24" s="972"/>
      <c r="N24" s="972"/>
      <c r="O24" s="972"/>
      <c r="P24" s="972"/>
      <c r="Q24" s="972"/>
      <c r="R24" s="972"/>
      <c r="S24" s="972"/>
      <c r="T24" s="972"/>
      <c r="U24" s="993"/>
      <c r="V24" s="972"/>
      <c r="W24" s="972"/>
      <c r="X24" s="1017">
        <v>46174</v>
      </c>
      <c r="Y24" s="972"/>
    </row>
    <row r="25" s="999" customFormat="1" ht="28.5" hidden="1" customHeight="1" spans="1:26">
      <c r="A25" s="971">
        <f t="shared" ref="A25:A31" si="1">ROW()-3</f>
        <v>22</v>
      </c>
      <c r="B25" s="971" t="s">
        <v>209</v>
      </c>
      <c r="C25" s="971" t="s">
        <v>909</v>
      </c>
      <c r="D25" s="1006" t="s">
        <v>1139</v>
      </c>
      <c r="E25" s="971" t="s">
        <v>1140</v>
      </c>
      <c r="F25" s="989">
        <v>46120</v>
      </c>
      <c r="G25" s="989">
        <v>46189</v>
      </c>
      <c r="H25" s="989">
        <v>46189</v>
      </c>
      <c r="I25" s="989">
        <v>46135</v>
      </c>
      <c r="J25" s="971">
        <v>7560</v>
      </c>
      <c r="K25" s="971">
        <v>1</v>
      </c>
      <c r="L25" s="971" t="s">
        <v>1135</v>
      </c>
      <c r="M25" s="971" t="s">
        <v>196</v>
      </c>
      <c r="N25" s="35" t="s">
        <v>1136</v>
      </c>
      <c r="O25" s="35" t="s">
        <v>1136</v>
      </c>
      <c r="P25" s="35" t="s">
        <v>1137</v>
      </c>
      <c r="Q25" s="35" t="s">
        <v>1137</v>
      </c>
      <c r="R25" s="971" t="s">
        <v>1141</v>
      </c>
      <c r="S25" s="971" t="s">
        <v>1135</v>
      </c>
      <c r="T25" s="35" t="s">
        <v>1088</v>
      </c>
      <c r="U25" s="990">
        <v>46189</v>
      </c>
      <c r="V25" s="992">
        <v>46185</v>
      </c>
      <c r="W25" s="971"/>
      <c r="X25" s="992">
        <v>46216</v>
      </c>
      <c r="Y25" s="1288" t="s">
        <v>1142</v>
      </c>
      <c r="Z25" s="999" t="s">
        <v>1090</v>
      </c>
    </row>
    <row r="26" s="999" customFormat="1" ht="28.5" hidden="1" customHeight="1" spans="1:26">
      <c r="A26" s="971">
        <f t="shared" si="1"/>
        <v>23</v>
      </c>
      <c r="B26" s="971" t="s">
        <v>209</v>
      </c>
      <c r="C26" s="971" t="s">
        <v>909</v>
      </c>
      <c r="D26" s="971" t="s">
        <v>1143</v>
      </c>
      <c r="E26" s="971" t="s">
        <v>1144</v>
      </c>
      <c r="F26" s="989">
        <v>46120</v>
      </c>
      <c r="G26" s="989">
        <v>46189</v>
      </c>
      <c r="H26" s="989">
        <v>46189</v>
      </c>
      <c r="I26" s="989">
        <v>46135</v>
      </c>
      <c r="J26" s="971">
        <v>3780</v>
      </c>
      <c r="K26" s="971">
        <v>1</v>
      </c>
      <c r="L26" s="971" t="s">
        <v>1135</v>
      </c>
      <c r="M26" s="971" t="s">
        <v>196</v>
      </c>
      <c r="N26" s="35" t="s">
        <v>1136</v>
      </c>
      <c r="O26" s="35" t="s">
        <v>1136</v>
      </c>
      <c r="P26" s="35" t="s">
        <v>1137</v>
      </c>
      <c r="Q26" s="35" t="s">
        <v>1137</v>
      </c>
      <c r="R26" s="971" t="s">
        <v>1141</v>
      </c>
      <c r="S26" s="971" t="s">
        <v>1135</v>
      </c>
      <c r="T26" s="35" t="s">
        <v>1088</v>
      </c>
      <c r="U26" s="990">
        <v>46189</v>
      </c>
      <c r="V26" s="992">
        <v>46185</v>
      </c>
      <c r="W26" s="971"/>
      <c r="X26" s="992">
        <v>46217</v>
      </c>
      <c r="Y26" s="1288" t="s">
        <v>1145</v>
      </c>
      <c r="Z26" s="999" t="s">
        <v>1090</v>
      </c>
    </row>
    <row r="27" s="999" customFormat="1" ht="28.5" hidden="1" customHeight="1" spans="1:26">
      <c r="A27" s="971">
        <f t="shared" si="1"/>
        <v>24</v>
      </c>
      <c r="B27" s="971" t="s">
        <v>209</v>
      </c>
      <c r="C27" s="971" t="s">
        <v>909</v>
      </c>
      <c r="D27" s="971" t="s">
        <v>1146</v>
      </c>
      <c r="E27" s="971" t="s">
        <v>1147</v>
      </c>
      <c r="F27" s="989">
        <v>46120</v>
      </c>
      <c r="G27" s="989">
        <v>46189</v>
      </c>
      <c r="H27" s="989">
        <v>46189</v>
      </c>
      <c r="I27" s="989">
        <v>46135</v>
      </c>
      <c r="J27" s="971">
        <v>5580</v>
      </c>
      <c r="K27" s="971">
        <v>1</v>
      </c>
      <c r="L27" s="971" t="s">
        <v>1135</v>
      </c>
      <c r="M27" s="971" t="s">
        <v>196</v>
      </c>
      <c r="N27" s="35" t="s">
        <v>1136</v>
      </c>
      <c r="O27" s="35" t="s">
        <v>1136</v>
      </c>
      <c r="P27" s="35" t="s">
        <v>1137</v>
      </c>
      <c r="Q27" s="35" t="s">
        <v>1137</v>
      </c>
      <c r="R27" s="971" t="s">
        <v>1141</v>
      </c>
      <c r="S27" s="971" t="s">
        <v>1135</v>
      </c>
      <c r="T27" s="35" t="s">
        <v>1088</v>
      </c>
      <c r="U27" s="990">
        <v>46189</v>
      </c>
      <c r="V27" s="992">
        <v>46185</v>
      </c>
      <c r="W27" s="971"/>
      <c r="X27" s="992">
        <v>46216</v>
      </c>
      <c r="Y27" s="1288" t="s">
        <v>1148</v>
      </c>
      <c r="Z27" s="999" t="s">
        <v>1090</v>
      </c>
    </row>
    <row r="28" s="255" customFormat="1" ht="28.5" hidden="1" customHeight="1" spans="1:26">
      <c r="A28" s="971">
        <f t="shared" si="1"/>
        <v>25</v>
      </c>
      <c r="B28" s="971" t="s">
        <v>209</v>
      </c>
      <c r="C28" s="971" t="s">
        <v>909</v>
      </c>
      <c r="D28" s="971" t="s">
        <v>1149</v>
      </c>
      <c r="E28" s="971" t="s">
        <v>1150</v>
      </c>
      <c r="F28" s="989">
        <v>46120</v>
      </c>
      <c r="G28" s="989">
        <v>46189</v>
      </c>
      <c r="H28" s="989">
        <v>46189</v>
      </c>
      <c r="I28" s="989">
        <v>46135</v>
      </c>
      <c r="J28" s="971">
        <v>3780</v>
      </c>
      <c r="K28" s="971">
        <v>1</v>
      </c>
      <c r="L28" s="971" t="s">
        <v>1135</v>
      </c>
      <c r="M28" s="971" t="s">
        <v>196</v>
      </c>
      <c r="N28" s="35" t="s">
        <v>1136</v>
      </c>
      <c r="O28" s="35" t="s">
        <v>1136</v>
      </c>
      <c r="P28" s="35" t="s">
        <v>1137</v>
      </c>
      <c r="Q28" s="35" t="s">
        <v>1137</v>
      </c>
      <c r="R28" s="971" t="s">
        <v>1141</v>
      </c>
      <c r="S28" s="971" t="s">
        <v>1135</v>
      </c>
      <c r="T28" s="35" t="s">
        <v>1088</v>
      </c>
      <c r="U28" s="990">
        <v>46189</v>
      </c>
      <c r="V28" s="992">
        <v>46191</v>
      </c>
      <c r="W28" s="971"/>
      <c r="X28" s="992">
        <v>46210</v>
      </c>
      <c r="Y28" s="1288" t="s">
        <v>1151</v>
      </c>
      <c r="Z28" s="255" t="s">
        <v>1090</v>
      </c>
    </row>
    <row r="29" s="255" customFormat="1" ht="28.5" hidden="1" customHeight="1" spans="1:26">
      <c r="A29" s="971">
        <f t="shared" si="1"/>
        <v>26</v>
      </c>
      <c r="B29" s="971" t="s">
        <v>209</v>
      </c>
      <c r="C29" s="971" t="s">
        <v>909</v>
      </c>
      <c r="D29" s="971" t="s">
        <v>1152</v>
      </c>
      <c r="E29" s="971" t="s">
        <v>1153</v>
      </c>
      <c r="F29" s="989">
        <v>46120</v>
      </c>
      <c r="G29" s="989">
        <v>46189</v>
      </c>
      <c r="H29" s="989">
        <v>46189</v>
      </c>
      <c r="I29" s="989">
        <v>46135</v>
      </c>
      <c r="J29" s="971">
        <v>7560</v>
      </c>
      <c r="K29" s="971">
        <v>1</v>
      </c>
      <c r="L29" s="971" t="s">
        <v>1135</v>
      </c>
      <c r="M29" s="971" t="s">
        <v>196</v>
      </c>
      <c r="N29" s="35" t="s">
        <v>1136</v>
      </c>
      <c r="O29" s="35" t="s">
        <v>1136</v>
      </c>
      <c r="P29" s="35" t="s">
        <v>1137</v>
      </c>
      <c r="Q29" s="35" t="s">
        <v>1137</v>
      </c>
      <c r="R29" s="971" t="s">
        <v>1141</v>
      </c>
      <c r="S29" s="971" t="s">
        <v>1135</v>
      </c>
      <c r="T29" s="35" t="s">
        <v>1088</v>
      </c>
      <c r="U29" s="990">
        <v>46189</v>
      </c>
      <c r="V29" s="992">
        <v>46191</v>
      </c>
      <c r="W29" s="971"/>
      <c r="X29" s="992">
        <v>46207</v>
      </c>
      <c r="Y29" s="1288" t="s">
        <v>1154</v>
      </c>
      <c r="Z29" s="255" t="s">
        <v>1090</v>
      </c>
    </row>
    <row r="30" s="255" customFormat="1" ht="28.5" hidden="1" customHeight="1" spans="1:26">
      <c r="A30" s="971">
        <f t="shared" si="1"/>
        <v>27</v>
      </c>
      <c r="B30" s="971" t="s">
        <v>209</v>
      </c>
      <c r="C30" s="971" t="s">
        <v>909</v>
      </c>
      <c r="D30" s="971" t="s">
        <v>1155</v>
      </c>
      <c r="E30" s="971" t="s">
        <v>1153</v>
      </c>
      <c r="F30" s="989">
        <v>46120</v>
      </c>
      <c r="G30" s="989">
        <v>46189</v>
      </c>
      <c r="H30" s="989">
        <v>46189</v>
      </c>
      <c r="I30" s="989">
        <v>46135</v>
      </c>
      <c r="J30" s="971">
        <v>5580</v>
      </c>
      <c r="K30" s="971">
        <v>1</v>
      </c>
      <c r="L30" s="971" t="s">
        <v>1135</v>
      </c>
      <c r="M30" s="971" t="s">
        <v>196</v>
      </c>
      <c r="N30" s="35" t="s">
        <v>1136</v>
      </c>
      <c r="O30" s="35" t="s">
        <v>1136</v>
      </c>
      <c r="P30" s="35" t="s">
        <v>1137</v>
      </c>
      <c r="Q30" s="35" t="s">
        <v>1137</v>
      </c>
      <c r="R30" s="971" t="s">
        <v>1141</v>
      </c>
      <c r="S30" s="971" t="s">
        <v>1135</v>
      </c>
      <c r="T30" s="35" t="s">
        <v>1088</v>
      </c>
      <c r="U30" s="990">
        <v>46189</v>
      </c>
      <c r="V30" s="992">
        <v>46191</v>
      </c>
      <c r="W30" s="971"/>
      <c r="X30" s="992">
        <v>46216</v>
      </c>
      <c r="Y30" s="1288" t="s">
        <v>1156</v>
      </c>
      <c r="Z30" s="255" t="s">
        <v>1090</v>
      </c>
    </row>
    <row r="31" s="255" customFormat="1" ht="28.5" hidden="1" customHeight="1" spans="1:26">
      <c r="A31" s="971">
        <f t="shared" si="1"/>
        <v>28</v>
      </c>
      <c r="B31" s="971" t="s">
        <v>209</v>
      </c>
      <c r="C31" s="971" t="s">
        <v>909</v>
      </c>
      <c r="D31" s="971" t="s">
        <v>1157</v>
      </c>
      <c r="E31" s="971" t="s">
        <v>1153</v>
      </c>
      <c r="F31" s="989">
        <v>46120</v>
      </c>
      <c r="G31" s="989">
        <v>46189</v>
      </c>
      <c r="H31" s="989">
        <v>46189</v>
      </c>
      <c r="I31" s="989">
        <v>46135</v>
      </c>
      <c r="J31" s="971">
        <v>5580</v>
      </c>
      <c r="K31" s="971">
        <v>1</v>
      </c>
      <c r="L31" s="971" t="s">
        <v>1135</v>
      </c>
      <c r="M31" s="971" t="s">
        <v>196</v>
      </c>
      <c r="N31" s="35" t="s">
        <v>1136</v>
      </c>
      <c r="O31" s="35" t="s">
        <v>1136</v>
      </c>
      <c r="P31" s="35" t="s">
        <v>1137</v>
      </c>
      <c r="Q31" s="35" t="s">
        <v>1137</v>
      </c>
      <c r="R31" s="971" t="s">
        <v>1141</v>
      </c>
      <c r="S31" s="971" t="s">
        <v>1135</v>
      </c>
      <c r="T31" s="35" t="s">
        <v>1088</v>
      </c>
      <c r="U31" s="990">
        <v>46189</v>
      </c>
      <c r="V31" s="992">
        <v>46191</v>
      </c>
      <c r="W31" s="971"/>
      <c r="X31" s="992">
        <v>46216</v>
      </c>
      <c r="Y31" s="1288" t="s">
        <v>1158</v>
      </c>
      <c r="Z31" s="255" t="s">
        <v>1090</v>
      </c>
    </row>
    <row r="32" s="255" customFormat="1" ht="28.5" hidden="1" customHeight="1" spans="1:26">
      <c r="A32" s="971">
        <f t="shared" ref="A32:A45" si="2">ROW()-3</f>
        <v>29</v>
      </c>
      <c r="B32" s="971" t="s">
        <v>209</v>
      </c>
      <c r="C32" s="971" t="s">
        <v>909</v>
      </c>
      <c r="D32" s="971" t="s">
        <v>1159</v>
      </c>
      <c r="E32" s="971" t="s">
        <v>1160</v>
      </c>
      <c r="F32" s="989">
        <v>46133</v>
      </c>
      <c r="G32" s="989">
        <v>46195</v>
      </c>
      <c r="H32" s="989">
        <v>46195</v>
      </c>
      <c r="I32" s="989">
        <v>46139</v>
      </c>
      <c r="J32" s="971">
        <v>3960</v>
      </c>
      <c r="K32" s="971">
        <v>1</v>
      </c>
      <c r="L32" s="971" t="s">
        <v>1135</v>
      </c>
      <c r="M32" s="971" t="s">
        <v>196</v>
      </c>
      <c r="N32" s="35" t="s">
        <v>1136</v>
      </c>
      <c r="O32" s="35" t="s">
        <v>1136</v>
      </c>
      <c r="P32" s="971" t="s">
        <v>1161</v>
      </c>
      <c r="Q32" s="971" t="s">
        <v>1161</v>
      </c>
      <c r="R32" s="971" t="s">
        <v>1141</v>
      </c>
      <c r="S32" s="971" t="s">
        <v>1135</v>
      </c>
      <c r="T32" s="35" t="s">
        <v>1088</v>
      </c>
      <c r="U32" s="990">
        <v>46195</v>
      </c>
      <c r="V32" s="992">
        <v>46199</v>
      </c>
      <c r="W32" s="971"/>
      <c r="X32" s="992">
        <v>46216</v>
      </c>
      <c r="Y32" s="1288" t="s">
        <v>1162</v>
      </c>
      <c r="Z32" s="255" t="s">
        <v>1090</v>
      </c>
    </row>
    <row r="33" s="255" customFormat="1" ht="28.5" hidden="1" customHeight="1" spans="1:27">
      <c r="A33" s="971">
        <f t="shared" si="2"/>
        <v>30</v>
      </c>
      <c r="B33" s="971" t="s">
        <v>209</v>
      </c>
      <c r="C33" s="971" t="s">
        <v>909</v>
      </c>
      <c r="D33" s="971" t="s">
        <v>1163</v>
      </c>
      <c r="E33" s="971" t="s">
        <v>1164</v>
      </c>
      <c r="F33" s="989">
        <v>46133</v>
      </c>
      <c r="G33" s="989">
        <v>46195</v>
      </c>
      <c r="H33" s="989">
        <v>46195</v>
      </c>
      <c r="I33" s="989">
        <v>46139</v>
      </c>
      <c r="J33" s="971">
        <v>2340</v>
      </c>
      <c r="K33" s="971">
        <v>1</v>
      </c>
      <c r="L33" s="971" t="s">
        <v>1135</v>
      </c>
      <c r="M33" s="971" t="s">
        <v>196</v>
      </c>
      <c r="N33" s="35" t="s">
        <v>1136</v>
      </c>
      <c r="O33" s="35" t="s">
        <v>1136</v>
      </c>
      <c r="P33" s="971" t="s">
        <v>1161</v>
      </c>
      <c r="Q33" s="971" t="s">
        <v>1161</v>
      </c>
      <c r="R33" s="971" t="s">
        <v>1141</v>
      </c>
      <c r="S33" s="971" t="s">
        <v>1135</v>
      </c>
      <c r="T33" s="35" t="s">
        <v>1088</v>
      </c>
      <c r="U33" s="990">
        <v>46195</v>
      </c>
      <c r="V33" s="992">
        <v>46199</v>
      </c>
      <c r="W33" s="971"/>
      <c r="X33" s="992">
        <v>46217</v>
      </c>
      <c r="Y33" s="1288" t="s">
        <v>1165</v>
      </c>
      <c r="Z33" s="255" t="s">
        <v>1090</v>
      </c>
    </row>
    <row r="34" s="255" customFormat="1" ht="28.5" hidden="1" customHeight="1" spans="1:27">
      <c r="A34" s="971">
        <f t="shared" si="2"/>
        <v>31</v>
      </c>
      <c r="B34" s="971" t="s">
        <v>209</v>
      </c>
      <c r="C34" s="971" t="s">
        <v>909</v>
      </c>
      <c r="D34" s="971" t="s">
        <v>1166</v>
      </c>
      <c r="E34" s="971" t="s">
        <v>1167</v>
      </c>
      <c r="F34" s="989">
        <v>46133</v>
      </c>
      <c r="G34" s="989">
        <v>46195</v>
      </c>
      <c r="H34" s="989">
        <v>46195</v>
      </c>
      <c r="I34" s="989">
        <v>46139</v>
      </c>
      <c r="J34" s="971">
        <v>3060</v>
      </c>
      <c r="K34" s="971">
        <v>1</v>
      </c>
      <c r="L34" s="971" t="s">
        <v>1135</v>
      </c>
      <c r="M34" s="971" t="s">
        <v>196</v>
      </c>
      <c r="N34" s="35" t="s">
        <v>1136</v>
      </c>
      <c r="O34" s="35" t="s">
        <v>1136</v>
      </c>
      <c r="P34" s="971" t="s">
        <v>1161</v>
      </c>
      <c r="Q34" s="971" t="s">
        <v>1161</v>
      </c>
      <c r="R34" s="971" t="s">
        <v>1141</v>
      </c>
      <c r="S34" s="971" t="s">
        <v>1135</v>
      </c>
      <c r="T34" s="35" t="s">
        <v>1088</v>
      </c>
      <c r="U34" s="990">
        <v>46195</v>
      </c>
      <c r="V34" s="992">
        <v>46199</v>
      </c>
      <c r="W34" s="971"/>
      <c r="X34" s="992">
        <v>46214</v>
      </c>
      <c r="Y34" s="1288" t="s">
        <v>1168</v>
      </c>
      <c r="Z34" s="255" t="s">
        <v>1090</v>
      </c>
    </row>
    <row r="35" s="255" customFormat="1" ht="28.5" hidden="1" customHeight="1" spans="1:27">
      <c r="A35" s="971">
        <f t="shared" si="2"/>
        <v>32</v>
      </c>
      <c r="B35" s="971" t="s">
        <v>209</v>
      </c>
      <c r="C35" s="971" t="s">
        <v>909</v>
      </c>
      <c r="D35" s="971" t="s">
        <v>1169</v>
      </c>
      <c r="E35" s="971" t="s">
        <v>1170</v>
      </c>
      <c r="F35" s="989">
        <v>46133</v>
      </c>
      <c r="G35" s="989">
        <v>46195</v>
      </c>
      <c r="H35" s="989">
        <v>46195</v>
      </c>
      <c r="I35" s="989">
        <v>46139</v>
      </c>
      <c r="J35" s="971">
        <v>2340</v>
      </c>
      <c r="K35" s="971">
        <v>1</v>
      </c>
      <c r="L35" s="971" t="s">
        <v>1135</v>
      </c>
      <c r="M35" s="971" t="s">
        <v>196</v>
      </c>
      <c r="N35" s="35" t="s">
        <v>1136</v>
      </c>
      <c r="O35" s="35" t="s">
        <v>1136</v>
      </c>
      <c r="P35" s="971" t="s">
        <v>1161</v>
      </c>
      <c r="Q35" s="971" t="s">
        <v>1161</v>
      </c>
      <c r="R35" s="971" t="s">
        <v>1141</v>
      </c>
      <c r="S35" s="971" t="s">
        <v>1135</v>
      </c>
      <c r="T35" s="35" t="s">
        <v>1088</v>
      </c>
      <c r="U35" s="990">
        <v>46195</v>
      </c>
      <c r="V35" s="992">
        <v>46199</v>
      </c>
      <c r="W35" s="971"/>
      <c r="X35" s="992">
        <v>46216</v>
      </c>
      <c r="Y35" s="1288" t="s">
        <v>1171</v>
      </c>
      <c r="Z35" s="255" t="s">
        <v>1090</v>
      </c>
    </row>
    <row r="36" s="255" customFormat="1" ht="28.5" hidden="1" customHeight="1" spans="1:27">
      <c r="A36" s="971">
        <f t="shared" si="2"/>
        <v>33</v>
      </c>
      <c r="B36" s="971" t="s">
        <v>209</v>
      </c>
      <c r="C36" s="971" t="s">
        <v>909</v>
      </c>
      <c r="D36" s="971" t="s">
        <v>1172</v>
      </c>
      <c r="E36" s="971" t="s">
        <v>1173</v>
      </c>
      <c r="F36" s="989">
        <v>46133</v>
      </c>
      <c r="G36" s="989">
        <v>46195</v>
      </c>
      <c r="H36" s="989">
        <v>46195</v>
      </c>
      <c r="I36" s="989">
        <v>46139</v>
      </c>
      <c r="J36" s="971">
        <v>3420</v>
      </c>
      <c r="K36" s="971">
        <v>1</v>
      </c>
      <c r="L36" s="971" t="s">
        <v>1135</v>
      </c>
      <c r="M36" s="971" t="s">
        <v>196</v>
      </c>
      <c r="N36" s="35" t="s">
        <v>1136</v>
      </c>
      <c r="O36" s="35" t="s">
        <v>1136</v>
      </c>
      <c r="P36" s="971" t="s">
        <v>1161</v>
      </c>
      <c r="Q36" s="971" t="s">
        <v>1161</v>
      </c>
      <c r="R36" s="971" t="s">
        <v>1141</v>
      </c>
      <c r="S36" s="971" t="s">
        <v>1135</v>
      </c>
      <c r="T36" s="35" t="s">
        <v>1088</v>
      </c>
      <c r="U36" s="990">
        <v>46195</v>
      </c>
      <c r="V36" s="992">
        <v>46199</v>
      </c>
      <c r="W36" s="971"/>
      <c r="X36" s="992">
        <v>46217</v>
      </c>
      <c r="Y36" s="1288" t="s">
        <v>1174</v>
      </c>
      <c r="Z36" s="255" t="s">
        <v>1090</v>
      </c>
    </row>
    <row r="37" s="255" customFormat="1" ht="28.5" hidden="1" customHeight="1" spans="1:27">
      <c r="A37" s="971">
        <f t="shared" si="2"/>
        <v>34</v>
      </c>
      <c r="B37" s="971" t="s">
        <v>209</v>
      </c>
      <c r="C37" s="971" t="s">
        <v>909</v>
      </c>
      <c r="D37" s="971" t="s">
        <v>1175</v>
      </c>
      <c r="E37" s="971" t="s">
        <v>1176</v>
      </c>
      <c r="F37" s="989">
        <v>46133</v>
      </c>
      <c r="G37" s="989">
        <v>46195</v>
      </c>
      <c r="H37" s="989">
        <v>46195</v>
      </c>
      <c r="I37" s="989">
        <v>46139</v>
      </c>
      <c r="J37" s="971">
        <v>3060</v>
      </c>
      <c r="K37" s="971">
        <v>1</v>
      </c>
      <c r="L37" s="971" t="s">
        <v>1135</v>
      </c>
      <c r="M37" s="971" t="s">
        <v>196</v>
      </c>
      <c r="N37" s="35" t="s">
        <v>1136</v>
      </c>
      <c r="O37" s="35" t="s">
        <v>1136</v>
      </c>
      <c r="P37" s="971" t="s">
        <v>1161</v>
      </c>
      <c r="Q37" s="971" t="s">
        <v>1161</v>
      </c>
      <c r="R37" s="971" t="s">
        <v>1141</v>
      </c>
      <c r="S37" s="971" t="s">
        <v>1135</v>
      </c>
      <c r="T37" s="35" t="s">
        <v>1088</v>
      </c>
      <c r="U37" s="990">
        <v>46195</v>
      </c>
      <c r="V37" s="992">
        <v>46199</v>
      </c>
      <c r="W37" s="971"/>
      <c r="X37" s="992">
        <v>46216</v>
      </c>
      <c r="Y37" s="1288" t="s">
        <v>1177</v>
      </c>
      <c r="Z37" s="255" t="s">
        <v>1090</v>
      </c>
    </row>
    <row r="38" s="255" customFormat="1" ht="28.5" hidden="1" customHeight="1" spans="1:27">
      <c r="A38" s="971">
        <f t="shared" si="2"/>
        <v>35</v>
      </c>
      <c r="B38" s="971" t="s">
        <v>209</v>
      </c>
      <c r="C38" s="971" t="s">
        <v>909</v>
      </c>
      <c r="D38" s="971" t="s">
        <v>1178</v>
      </c>
      <c r="E38" s="971" t="s">
        <v>1179</v>
      </c>
      <c r="F38" s="989">
        <v>46133</v>
      </c>
      <c r="G38" s="989">
        <v>46195</v>
      </c>
      <c r="H38" s="989">
        <v>46195</v>
      </c>
      <c r="I38" s="989">
        <v>46139</v>
      </c>
      <c r="J38" s="971">
        <v>2520</v>
      </c>
      <c r="K38" s="971">
        <v>1</v>
      </c>
      <c r="L38" s="971" t="s">
        <v>1135</v>
      </c>
      <c r="M38" s="971" t="s">
        <v>196</v>
      </c>
      <c r="N38" s="35" t="s">
        <v>1136</v>
      </c>
      <c r="O38" s="35" t="s">
        <v>1136</v>
      </c>
      <c r="P38" s="971" t="s">
        <v>1161</v>
      </c>
      <c r="Q38" s="971" t="s">
        <v>1161</v>
      </c>
      <c r="R38" s="971" t="s">
        <v>1141</v>
      </c>
      <c r="S38" s="971" t="s">
        <v>1135</v>
      </c>
      <c r="T38" s="35" t="s">
        <v>1088</v>
      </c>
      <c r="U38" s="990">
        <v>46195</v>
      </c>
      <c r="V38" s="992">
        <v>46199</v>
      </c>
      <c r="W38" s="971"/>
      <c r="X38" s="992">
        <v>46214</v>
      </c>
      <c r="Y38" s="1288" t="s">
        <v>1180</v>
      </c>
      <c r="Z38" s="255" t="s">
        <v>1090</v>
      </c>
    </row>
    <row r="39" s="255" customFormat="1" ht="28.5" hidden="1" customHeight="1" spans="1:27">
      <c r="A39" s="971">
        <f t="shared" si="2"/>
        <v>36</v>
      </c>
      <c r="B39" s="971" t="s">
        <v>209</v>
      </c>
      <c r="C39" s="971" t="s">
        <v>909</v>
      </c>
      <c r="D39" s="971" t="s">
        <v>1181</v>
      </c>
      <c r="E39" s="971" t="s">
        <v>1182</v>
      </c>
      <c r="F39" s="989">
        <v>46135</v>
      </c>
      <c r="G39" s="989">
        <v>46207</v>
      </c>
      <c r="H39" s="989">
        <v>46207</v>
      </c>
      <c r="I39" s="989">
        <v>46149</v>
      </c>
      <c r="J39" s="971">
        <v>3780</v>
      </c>
      <c r="K39" s="971">
        <v>1</v>
      </c>
      <c r="L39" s="971" t="s">
        <v>1183</v>
      </c>
      <c r="M39" s="971" t="s">
        <v>196</v>
      </c>
      <c r="N39" s="971" t="s">
        <v>168</v>
      </c>
      <c r="O39" s="971" t="s">
        <v>168</v>
      </c>
      <c r="P39" s="971" t="s">
        <v>1184</v>
      </c>
      <c r="Q39" s="971" t="s">
        <v>1184</v>
      </c>
      <c r="R39" s="971" t="s">
        <v>561</v>
      </c>
      <c r="S39" s="971" t="s">
        <v>1183</v>
      </c>
      <c r="T39" s="35" t="s">
        <v>1088</v>
      </c>
      <c r="U39" s="990">
        <v>46207</v>
      </c>
      <c r="V39" s="1016">
        <v>46213</v>
      </c>
      <c r="W39" s="1018"/>
      <c r="X39" s="992">
        <v>46217</v>
      </c>
      <c r="Y39" s="1288" t="s">
        <v>1185</v>
      </c>
      <c r="Z39" s="255" t="s">
        <v>1090</v>
      </c>
    </row>
    <row r="40" s="255" customFormat="1" ht="28.5" hidden="1" customHeight="1" spans="1:27">
      <c r="A40" s="971">
        <f t="shared" si="2"/>
        <v>37</v>
      </c>
      <c r="B40" s="971" t="s">
        <v>209</v>
      </c>
      <c r="C40" s="971" t="s">
        <v>909</v>
      </c>
      <c r="D40" s="971" t="s">
        <v>1186</v>
      </c>
      <c r="E40" s="971" t="s">
        <v>1187</v>
      </c>
      <c r="F40" s="989">
        <v>46135</v>
      </c>
      <c r="G40" s="989">
        <v>46207</v>
      </c>
      <c r="H40" s="989">
        <v>46207</v>
      </c>
      <c r="I40" s="989">
        <v>46149</v>
      </c>
      <c r="J40" s="971">
        <v>4140</v>
      </c>
      <c r="K40" s="971">
        <v>1</v>
      </c>
      <c r="L40" s="971" t="s">
        <v>1183</v>
      </c>
      <c r="M40" s="971" t="s">
        <v>196</v>
      </c>
      <c r="N40" s="971" t="s">
        <v>168</v>
      </c>
      <c r="O40" s="971" t="s">
        <v>168</v>
      </c>
      <c r="P40" s="971" t="s">
        <v>1184</v>
      </c>
      <c r="Q40" s="971" t="s">
        <v>1184</v>
      </c>
      <c r="R40" s="971" t="s">
        <v>561</v>
      </c>
      <c r="S40" s="971" t="s">
        <v>1183</v>
      </c>
      <c r="T40" s="35" t="s">
        <v>1088</v>
      </c>
      <c r="U40" s="990">
        <v>46207</v>
      </c>
      <c r="V40" s="1016">
        <v>46213</v>
      </c>
      <c r="W40" s="1018"/>
      <c r="X40" s="992">
        <v>46220</v>
      </c>
      <c r="Y40" s="1288" t="s">
        <v>1188</v>
      </c>
      <c r="Z40" s="255" t="s">
        <v>1090</v>
      </c>
    </row>
    <row r="41" s="255" customFormat="1" ht="28.5" hidden="1" customHeight="1" spans="1:27">
      <c r="A41" s="971">
        <f t="shared" si="2"/>
        <v>38</v>
      </c>
      <c r="B41" s="971" t="s">
        <v>209</v>
      </c>
      <c r="C41" s="971" t="s">
        <v>909</v>
      </c>
      <c r="D41" s="971" t="s">
        <v>1189</v>
      </c>
      <c r="E41" s="971" t="s">
        <v>1190</v>
      </c>
      <c r="F41" s="989">
        <v>46135</v>
      </c>
      <c r="G41" s="989">
        <v>46217</v>
      </c>
      <c r="H41" s="989">
        <v>46217</v>
      </c>
      <c r="I41" s="989">
        <v>46149</v>
      </c>
      <c r="J41" s="971">
        <v>3060</v>
      </c>
      <c r="K41" s="971">
        <v>1</v>
      </c>
      <c r="L41" s="971" t="s">
        <v>1183</v>
      </c>
      <c r="M41" s="971" t="s">
        <v>196</v>
      </c>
      <c r="N41" s="971" t="s">
        <v>168</v>
      </c>
      <c r="O41" s="971" t="s">
        <v>168</v>
      </c>
      <c r="P41" s="971" t="s">
        <v>1184</v>
      </c>
      <c r="Q41" s="971" t="s">
        <v>1184</v>
      </c>
      <c r="R41" s="971" t="s">
        <v>561</v>
      </c>
      <c r="S41" s="971" t="s">
        <v>1183</v>
      </c>
      <c r="T41" s="35" t="s">
        <v>1088</v>
      </c>
      <c r="U41" s="990">
        <v>46217</v>
      </c>
      <c r="V41" s="1016">
        <v>46220</v>
      </c>
      <c r="W41" s="971"/>
      <c r="X41" s="992">
        <v>46223</v>
      </c>
      <c r="Y41" s="1288" t="s">
        <v>1191</v>
      </c>
      <c r="Z41" s="255" t="s">
        <v>1090</v>
      </c>
    </row>
    <row r="42" s="255" customFormat="1" ht="28.5" hidden="1" customHeight="1" spans="1:27">
      <c r="A42" s="971">
        <f t="shared" si="2"/>
        <v>39</v>
      </c>
      <c r="B42" s="971" t="s">
        <v>209</v>
      </c>
      <c r="C42" s="971" t="s">
        <v>909</v>
      </c>
      <c r="D42" s="971" t="s">
        <v>1192</v>
      </c>
      <c r="E42" s="971" t="s">
        <v>1193</v>
      </c>
      <c r="F42" s="989">
        <v>46135</v>
      </c>
      <c r="G42" s="989">
        <v>46217</v>
      </c>
      <c r="H42" s="989">
        <v>46217</v>
      </c>
      <c r="I42" s="989">
        <v>46149</v>
      </c>
      <c r="J42" s="971">
        <v>2880</v>
      </c>
      <c r="K42" s="971">
        <v>1</v>
      </c>
      <c r="L42" s="971" t="s">
        <v>1183</v>
      </c>
      <c r="M42" s="971" t="s">
        <v>196</v>
      </c>
      <c r="N42" s="971" t="s">
        <v>168</v>
      </c>
      <c r="O42" s="971" t="s">
        <v>168</v>
      </c>
      <c r="P42" s="971" t="s">
        <v>1184</v>
      </c>
      <c r="Q42" s="971" t="s">
        <v>1184</v>
      </c>
      <c r="R42" s="971" t="s">
        <v>561</v>
      </c>
      <c r="S42" s="971" t="s">
        <v>1183</v>
      </c>
      <c r="T42" s="35" t="s">
        <v>1088</v>
      </c>
      <c r="U42" s="990">
        <v>46217</v>
      </c>
      <c r="V42" s="1016">
        <v>46220</v>
      </c>
      <c r="W42" s="971"/>
      <c r="X42" s="992">
        <v>46223</v>
      </c>
      <c r="Y42" s="1288" t="s">
        <v>1194</v>
      </c>
      <c r="Z42" s="255" t="s">
        <v>1090</v>
      </c>
    </row>
    <row r="43" s="255" customFormat="1" ht="28.5" hidden="1" customHeight="1" spans="1:27">
      <c r="A43" s="971">
        <f t="shared" si="2"/>
        <v>40</v>
      </c>
      <c r="B43" s="971" t="s">
        <v>209</v>
      </c>
      <c r="C43" s="971" t="s">
        <v>909</v>
      </c>
      <c r="D43" s="971" t="s">
        <v>1195</v>
      </c>
      <c r="E43" s="971" t="s">
        <v>1196</v>
      </c>
      <c r="F43" s="989">
        <v>46135</v>
      </c>
      <c r="G43" s="989">
        <v>46217</v>
      </c>
      <c r="H43" s="989">
        <v>46217</v>
      </c>
      <c r="I43" s="989">
        <v>46149</v>
      </c>
      <c r="J43" s="971">
        <v>2160</v>
      </c>
      <c r="K43" s="971">
        <v>1</v>
      </c>
      <c r="L43" s="971" t="s">
        <v>1183</v>
      </c>
      <c r="M43" s="971" t="s">
        <v>196</v>
      </c>
      <c r="N43" s="971" t="s">
        <v>168</v>
      </c>
      <c r="O43" s="971" t="s">
        <v>168</v>
      </c>
      <c r="P43" s="971" t="s">
        <v>1184</v>
      </c>
      <c r="Q43" s="971" t="s">
        <v>1184</v>
      </c>
      <c r="R43" s="971" t="s">
        <v>561</v>
      </c>
      <c r="S43" s="971" t="s">
        <v>1183</v>
      </c>
      <c r="T43" s="35" t="s">
        <v>1088</v>
      </c>
      <c r="U43" s="990">
        <v>46217</v>
      </c>
      <c r="V43" s="1016">
        <v>46220</v>
      </c>
      <c r="W43" s="971"/>
      <c r="X43" s="992">
        <v>46223</v>
      </c>
      <c r="Y43" s="1288" t="s">
        <v>1197</v>
      </c>
      <c r="Z43" s="255" t="s">
        <v>1090</v>
      </c>
    </row>
    <row r="44" s="255" customFormat="1" ht="28.5" hidden="1" customHeight="1" spans="1:27">
      <c r="A44" s="971">
        <f t="shared" si="2"/>
        <v>41</v>
      </c>
      <c r="B44" s="971" t="s">
        <v>209</v>
      </c>
      <c r="C44" s="971" t="s">
        <v>909</v>
      </c>
      <c r="D44" s="971" t="s">
        <v>1198</v>
      </c>
      <c r="E44" s="971" t="s">
        <v>1199</v>
      </c>
      <c r="F44" s="989">
        <v>46135</v>
      </c>
      <c r="G44" s="989">
        <v>46226</v>
      </c>
      <c r="H44" s="989">
        <v>46226</v>
      </c>
      <c r="I44" s="989">
        <v>46149</v>
      </c>
      <c r="J44" s="971">
        <v>4500</v>
      </c>
      <c r="K44" s="971">
        <v>1</v>
      </c>
      <c r="L44" s="971" t="s">
        <v>1183</v>
      </c>
      <c r="M44" s="971" t="s">
        <v>196</v>
      </c>
      <c r="N44" s="971" t="s">
        <v>168</v>
      </c>
      <c r="O44" s="971" t="s">
        <v>168</v>
      </c>
      <c r="P44" s="971" t="s">
        <v>1184</v>
      </c>
      <c r="Q44" s="971" t="s">
        <v>1184</v>
      </c>
      <c r="R44" s="971" t="s">
        <v>561</v>
      </c>
      <c r="S44" s="971" t="s">
        <v>1183</v>
      </c>
      <c r="T44" s="35" t="s">
        <v>1088</v>
      </c>
      <c r="U44" s="990">
        <v>46226</v>
      </c>
      <c r="V44" s="1016">
        <v>46225</v>
      </c>
      <c r="W44" s="971"/>
      <c r="X44" s="992">
        <v>46235</v>
      </c>
      <c r="Y44" s="1288" t="s">
        <v>1200</v>
      </c>
      <c r="Z44" s="255" t="s">
        <v>1090</v>
      </c>
    </row>
    <row r="45" s="255" customFormat="1" ht="28.5" hidden="1" customHeight="1" spans="1:27">
      <c r="A45" s="971">
        <f t="shared" si="2"/>
        <v>42</v>
      </c>
      <c r="B45" s="971" t="s">
        <v>209</v>
      </c>
      <c r="C45" s="971" t="s">
        <v>909</v>
      </c>
      <c r="D45" s="971" t="s">
        <v>1201</v>
      </c>
      <c r="E45" s="48" t="s">
        <v>1202</v>
      </c>
      <c r="F45" s="989">
        <v>46135</v>
      </c>
      <c r="G45" s="989">
        <v>46226</v>
      </c>
      <c r="H45" s="989">
        <v>46226</v>
      </c>
      <c r="I45" s="989">
        <v>46149</v>
      </c>
      <c r="J45" s="971">
        <v>3600</v>
      </c>
      <c r="K45" s="971">
        <v>1</v>
      </c>
      <c r="L45" s="971" t="s">
        <v>1183</v>
      </c>
      <c r="M45" s="971" t="s">
        <v>196</v>
      </c>
      <c r="N45" s="971" t="s">
        <v>168</v>
      </c>
      <c r="O45" s="971" t="s">
        <v>168</v>
      </c>
      <c r="P45" s="971" t="s">
        <v>1184</v>
      </c>
      <c r="Q45" s="971" t="s">
        <v>1184</v>
      </c>
      <c r="R45" s="971" t="s">
        <v>561</v>
      </c>
      <c r="S45" s="971" t="s">
        <v>1183</v>
      </c>
      <c r="T45" s="35" t="s">
        <v>1088</v>
      </c>
      <c r="U45" s="990">
        <v>46226</v>
      </c>
      <c r="V45" s="1016">
        <v>46225</v>
      </c>
      <c r="W45" s="971"/>
      <c r="X45" s="992">
        <v>46242</v>
      </c>
      <c r="Y45" s="1288" t="s">
        <v>1203</v>
      </c>
      <c r="Z45" s="255" t="s">
        <v>1090</v>
      </c>
    </row>
    <row r="46" s="255" customFormat="1" ht="28.5" hidden="1" customHeight="1" spans="1:27">
      <c r="A46" s="971">
        <f t="shared" ref="A46:A67" si="3">ROW()-3</f>
        <v>43</v>
      </c>
      <c r="B46" s="971" t="s">
        <v>209</v>
      </c>
      <c r="C46" s="971" t="s">
        <v>909</v>
      </c>
      <c r="D46" s="971" t="s">
        <v>1204</v>
      </c>
      <c r="E46" s="48" t="s">
        <v>1205</v>
      </c>
      <c r="F46" s="989">
        <v>46183</v>
      </c>
      <c r="G46" s="989">
        <v>46240</v>
      </c>
      <c r="H46" s="989">
        <v>46240</v>
      </c>
      <c r="I46" s="989">
        <v>46202</v>
      </c>
      <c r="J46" s="971">
        <v>1800</v>
      </c>
      <c r="K46" s="971">
        <v>1</v>
      </c>
      <c r="L46" s="971" t="s">
        <v>767</v>
      </c>
      <c r="M46" s="971" t="s">
        <v>196</v>
      </c>
      <c r="N46" s="971" t="s">
        <v>1206</v>
      </c>
      <c r="O46" s="971" t="s">
        <v>1206</v>
      </c>
      <c r="P46" s="971" t="s">
        <v>1207</v>
      </c>
      <c r="Q46" s="971" t="s">
        <v>1207</v>
      </c>
      <c r="R46" s="971" t="s">
        <v>1208</v>
      </c>
      <c r="S46" s="971" t="s">
        <v>767</v>
      </c>
      <c r="T46" s="35" t="s">
        <v>1088</v>
      </c>
      <c r="U46" s="990">
        <v>46240</v>
      </c>
      <c r="V46" s="1016">
        <v>46240</v>
      </c>
      <c r="W46" s="971"/>
      <c r="X46" s="807">
        <v>46268</v>
      </c>
      <c r="Y46" s="1288" t="s">
        <v>1209</v>
      </c>
      <c r="Z46" s="255" t="s">
        <v>1210</v>
      </c>
      <c r="AA46" s="255" t="s">
        <v>1211</v>
      </c>
    </row>
    <row r="47" s="255" customFormat="1" ht="28.5" hidden="1" customHeight="1" spans="1:27">
      <c r="A47" s="971">
        <f t="shared" si="3"/>
        <v>44</v>
      </c>
      <c r="B47" s="971" t="s">
        <v>209</v>
      </c>
      <c r="C47" s="971" t="s">
        <v>909</v>
      </c>
      <c r="D47" s="971" t="s">
        <v>1212</v>
      </c>
      <c r="E47" s="48" t="s">
        <v>1213</v>
      </c>
      <c r="F47" s="989">
        <v>46183</v>
      </c>
      <c r="G47" s="989">
        <v>46240</v>
      </c>
      <c r="H47" s="989">
        <v>46240</v>
      </c>
      <c r="I47" s="989">
        <v>46202</v>
      </c>
      <c r="J47" s="971">
        <v>1800</v>
      </c>
      <c r="K47" s="971">
        <v>1</v>
      </c>
      <c r="L47" s="971" t="s">
        <v>767</v>
      </c>
      <c r="M47" s="971" t="s">
        <v>196</v>
      </c>
      <c r="N47" s="971" t="s">
        <v>1206</v>
      </c>
      <c r="O47" s="971" t="s">
        <v>1206</v>
      </c>
      <c r="P47" s="971" t="s">
        <v>1207</v>
      </c>
      <c r="Q47" s="971" t="s">
        <v>1207</v>
      </c>
      <c r="R47" s="971" t="s">
        <v>1208</v>
      </c>
      <c r="S47" s="971" t="s">
        <v>767</v>
      </c>
      <c r="T47" s="35" t="s">
        <v>1088</v>
      </c>
      <c r="U47" s="990">
        <v>46240</v>
      </c>
      <c r="V47" s="1016">
        <v>46240</v>
      </c>
      <c r="W47" s="971"/>
      <c r="X47" s="807">
        <v>46261</v>
      </c>
      <c r="Y47" s="1288" t="s">
        <v>1214</v>
      </c>
      <c r="Z47" s="255" t="s">
        <v>1210</v>
      </c>
      <c r="AA47" s="255" t="s">
        <v>1211</v>
      </c>
    </row>
    <row r="48" s="255" customFormat="1" ht="28.5" hidden="1" customHeight="1" spans="1:27">
      <c r="A48" s="971">
        <f t="shared" si="3"/>
        <v>45</v>
      </c>
      <c r="B48" s="971" t="s">
        <v>209</v>
      </c>
      <c r="C48" s="971" t="s">
        <v>909</v>
      </c>
      <c r="D48" s="971" t="s">
        <v>1215</v>
      </c>
      <c r="E48" s="48" t="s">
        <v>1216</v>
      </c>
      <c r="F48" s="989">
        <v>46183</v>
      </c>
      <c r="G48" s="989">
        <v>46240</v>
      </c>
      <c r="H48" s="989">
        <v>46240</v>
      </c>
      <c r="I48" s="989">
        <v>46202</v>
      </c>
      <c r="J48" s="971">
        <v>2340</v>
      </c>
      <c r="K48" s="971">
        <v>1</v>
      </c>
      <c r="L48" s="971" t="s">
        <v>767</v>
      </c>
      <c r="M48" s="971" t="s">
        <v>196</v>
      </c>
      <c r="N48" s="971" t="s">
        <v>1206</v>
      </c>
      <c r="O48" s="971" t="s">
        <v>1206</v>
      </c>
      <c r="P48" s="971" t="s">
        <v>1207</v>
      </c>
      <c r="Q48" s="971" t="s">
        <v>1207</v>
      </c>
      <c r="R48" s="971" t="s">
        <v>1208</v>
      </c>
      <c r="S48" s="971" t="s">
        <v>767</v>
      </c>
      <c r="T48" s="35" t="s">
        <v>1088</v>
      </c>
      <c r="U48" s="990">
        <v>46240</v>
      </c>
      <c r="V48" s="1016">
        <v>46240</v>
      </c>
      <c r="W48" s="971"/>
      <c r="X48" s="807">
        <v>46260</v>
      </c>
      <c r="Y48" s="1288" t="s">
        <v>1217</v>
      </c>
      <c r="Z48" s="255" t="s">
        <v>1210</v>
      </c>
      <c r="AA48" s="255" t="s">
        <v>1211</v>
      </c>
    </row>
    <row r="49" s="255" customFormat="1" ht="28.5" hidden="1" customHeight="1" spans="1:27">
      <c r="A49" s="971">
        <f t="shared" si="3"/>
        <v>46</v>
      </c>
      <c r="B49" s="971" t="s">
        <v>209</v>
      </c>
      <c r="C49" s="971" t="s">
        <v>909</v>
      </c>
      <c r="D49" s="971" t="s">
        <v>1218</v>
      </c>
      <c r="E49" s="48" t="s">
        <v>1219</v>
      </c>
      <c r="F49" s="989">
        <v>46183</v>
      </c>
      <c r="G49" s="989">
        <v>46240</v>
      </c>
      <c r="H49" s="989">
        <v>46240</v>
      </c>
      <c r="I49" s="989">
        <v>46202</v>
      </c>
      <c r="J49" s="971">
        <v>4320</v>
      </c>
      <c r="K49" s="971">
        <v>1</v>
      </c>
      <c r="L49" s="971" t="s">
        <v>767</v>
      </c>
      <c r="M49" s="971" t="s">
        <v>196</v>
      </c>
      <c r="N49" s="971" t="s">
        <v>1206</v>
      </c>
      <c r="O49" s="971" t="s">
        <v>1206</v>
      </c>
      <c r="P49" s="971" t="s">
        <v>1207</v>
      </c>
      <c r="Q49" s="971" t="s">
        <v>1207</v>
      </c>
      <c r="R49" s="971" t="s">
        <v>1208</v>
      </c>
      <c r="S49" s="971" t="s">
        <v>767</v>
      </c>
      <c r="T49" s="35" t="s">
        <v>1088</v>
      </c>
      <c r="U49" s="990">
        <v>46240</v>
      </c>
      <c r="V49" s="1016">
        <v>46240</v>
      </c>
      <c r="W49" s="971"/>
      <c r="X49" s="807">
        <v>46248</v>
      </c>
      <c r="Y49" s="1288" t="s">
        <v>1220</v>
      </c>
      <c r="Z49" s="255" t="s">
        <v>1210</v>
      </c>
      <c r="AA49" s="255" t="s">
        <v>1211</v>
      </c>
    </row>
    <row r="50" s="255" customFormat="1" ht="28.5" hidden="1" customHeight="1" spans="1:27">
      <c r="A50" s="971">
        <f t="shared" si="3"/>
        <v>47</v>
      </c>
      <c r="B50" s="971" t="s">
        <v>209</v>
      </c>
      <c r="C50" s="971" t="s">
        <v>909</v>
      </c>
      <c r="D50" s="971" t="s">
        <v>1221</v>
      </c>
      <c r="E50" s="48" t="s">
        <v>1222</v>
      </c>
      <c r="F50" s="989">
        <v>46183</v>
      </c>
      <c r="G50" s="989">
        <v>46240</v>
      </c>
      <c r="H50" s="989">
        <v>46240</v>
      </c>
      <c r="I50" s="989">
        <v>46202</v>
      </c>
      <c r="J50" s="971">
        <v>2160</v>
      </c>
      <c r="K50" s="971">
        <v>1</v>
      </c>
      <c r="L50" s="971" t="s">
        <v>767</v>
      </c>
      <c r="M50" s="971" t="s">
        <v>196</v>
      </c>
      <c r="N50" s="971" t="s">
        <v>1206</v>
      </c>
      <c r="O50" s="971" t="s">
        <v>1206</v>
      </c>
      <c r="P50" s="971" t="s">
        <v>1207</v>
      </c>
      <c r="Q50" s="971" t="s">
        <v>1207</v>
      </c>
      <c r="R50" s="971" t="s">
        <v>1208</v>
      </c>
      <c r="S50" s="971" t="s">
        <v>767</v>
      </c>
      <c r="T50" s="35" t="s">
        <v>1088</v>
      </c>
      <c r="U50" s="990">
        <v>46240</v>
      </c>
      <c r="V50" s="1016">
        <v>46240</v>
      </c>
      <c r="W50" s="971"/>
      <c r="X50" s="807">
        <v>46265</v>
      </c>
      <c r="Y50" s="1288" t="s">
        <v>1223</v>
      </c>
      <c r="Z50" s="255" t="s">
        <v>1210</v>
      </c>
      <c r="AA50" s="255" t="s">
        <v>1211</v>
      </c>
    </row>
    <row r="51" s="255" customFormat="1" ht="28.5" hidden="1" customHeight="1" spans="1:27">
      <c r="A51" s="971">
        <f t="shared" si="3"/>
        <v>48</v>
      </c>
      <c r="B51" s="971" t="s">
        <v>209</v>
      </c>
      <c r="C51" s="971" t="s">
        <v>909</v>
      </c>
      <c r="D51" s="971" t="s">
        <v>1224</v>
      </c>
      <c r="E51" s="48" t="s">
        <v>1225</v>
      </c>
      <c r="F51" s="989">
        <v>46183</v>
      </c>
      <c r="G51" s="989">
        <v>46240</v>
      </c>
      <c r="H51" s="989">
        <v>46240</v>
      </c>
      <c r="I51" s="989">
        <v>46202</v>
      </c>
      <c r="J51" s="971">
        <v>2340</v>
      </c>
      <c r="K51" s="971">
        <v>1</v>
      </c>
      <c r="L51" s="971" t="s">
        <v>767</v>
      </c>
      <c r="M51" s="971" t="s">
        <v>196</v>
      </c>
      <c r="N51" s="971" t="s">
        <v>1206</v>
      </c>
      <c r="O51" s="971" t="s">
        <v>1206</v>
      </c>
      <c r="P51" s="971" t="s">
        <v>1207</v>
      </c>
      <c r="Q51" s="971" t="s">
        <v>1207</v>
      </c>
      <c r="R51" s="971" t="s">
        <v>1208</v>
      </c>
      <c r="S51" s="971" t="s">
        <v>767</v>
      </c>
      <c r="T51" s="35" t="s">
        <v>1088</v>
      </c>
      <c r="U51" s="990">
        <v>46240</v>
      </c>
      <c r="V51" s="1016">
        <v>46240</v>
      </c>
      <c r="W51" s="971"/>
      <c r="X51" s="992">
        <v>46245</v>
      </c>
      <c r="Y51" s="1288" t="s">
        <v>1226</v>
      </c>
      <c r="Z51" s="255" t="s">
        <v>1210</v>
      </c>
      <c r="AA51" s="255" t="s">
        <v>1211</v>
      </c>
    </row>
    <row r="52" s="255" customFormat="1" ht="28.5" customHeight="1" spans="1:27">
      <c r="A52" s="971">
        <f t="shared" si="3"/>
        <v>49</v>
      </c>
      <c r="B52" s="971" t="s">
        <v>209</v>
      </c>
      <c r="C52" s="971" t="s">
        <v>909</v>
      </c>
      <c r="D52" s="971" t="s">
        <v>951</v>
      </c>
      <c r="E52" s="48" t="s">
        <v>952</v>
      </c>
      <c r="F52" s="989">
        <v>46154</v>
      </c>
      <c r="G52" s="989">
        <v>46247</v>
      </c>
      <c r="H52" s="989">
        <v>46247</v>
      </c>
      <c r="I52" s="989">
        <v>46177</v>
      </c>
      <c r="J52" s="971">
        <v>2340</v>
      </c>
      <c r="K52" s="971">
        <v>1</v>
      </c>
      <c r="L52" s="971" t="s">
        <v>767</v>
      </c>
      <c r="M52" s="971" t="s">
        <v>196</v>
      </c>
      <c r="N52" s="971" t="s">
        <v>1206</v>
      </c>
      <c r="O52" s="971" t="s">
        <v>1206</v>
      </c>
      <c r="P52" s="971" t="s">
        <v>556</v>
      </c>
      <c r="Q52" s="971" t="s">
        <v>556</v>
      </c>
      <c r="R52" s="971" t="s">
        <v>1227</v>
      </c>
      <c r="S52" s="971" t="s">
        <v>767</v>
      </c>
      <c r="T52" s="45" t="s">
        <v>1228</v>
      </c>
      <c r="U52" s="1019">
        <v>46240</v>
      </c>
      <c r="V52" s="1016">
        <v>46240</v>
      </c>
      <c r="W52" s="971"/>
      <c r="X52" s="990"/>
      <c r="Y52" s="1288" t="s">
        <v>953</v>
      </c>
      <c r="Z52" s="998" t="s">
        <v>1100</v>
      </c>
    </row>
    <row r="53" s="255" customFormat="1" ht="28.5" hidden="1" customHeight="1" spans="1:27">
      <c r="A53" s="971">
        <f t="shared" si="3"/>
        <v>50</v>
      </c>
      <c r="B53" s="971" t="s">
        <v>209</v>
      </c>
      <c r="C53" s="971" t="s">
        <v>909</v>
      </c>
      <c r="D53" s="971" t="s">
        <v>931</v>
      </c>
      <c r="E53" s="50" t="s">
        <v>932</v>
      </c>
      <c r="F53" s="989">
        <v>46154</v>
      </c>
      <c r="G53" s="989">
        <v>46241</v>
      </c>
      <c r="H53" s="989">
        <v>46241</v>
      </c>
      <c r="I53" s="989">
        <v>46177</v>
      </c>
      <c r="J53" s="971">
        <v>1800</v>
      </c>
      <c r="K53" s="971">
        <v>1</v>
      </c>
      <c r="L53" s="971" t="s">
        <v>767</v>
      </c>
      <c r="M53" s="971" t="s">
        <v>196</v>
      </c>
      <c r="N53" s="971" t="s">
        <v>1206</v>
      </c>
      <c r="O53" s="971" t="s">
        <v>1206</v>
      </c>
      <c r="P53" s="971" t="s">
        <v>556</v>
      </c>
      <c r="Q53" s="971" t="s">
        <v>556</v>
      </c>
      <c r="R53" s="971" t="s">
        <v>1227</v>
      </c>
      <c r="S53" s="971" t="s">
        <v>767</v>
      </c>
      <c r="T53" s="35" t="s">
        <v>1088</v>
      </c>
      <c r="U53" s="990">
        <v>46241</v>
      </c>
      <c r="V53" s="1020">
        <v>46241</v>
      </c>
      <c r="W53" s="971"/>
      <c r="X53" s="990">
        <v>46247</v>
      </c>
      <c r="Y53" s="1288" t="s">
        <v>934</v>
      </c>
      <c r="Z53" s="255" t="s">
        <v>1210</v>
      </c>
    </row>
    <row r="54" s="255" customFormat="1" ht="28.5" hidden="1" customHeight="1" spans="1:27">
      <c r="A54" s="971">
        <f t="shared" si="3"/>
        <v>51</v>
      </c>
      <c r="B54" s="971" t="s">
        <v>209</v>
      </c>
      <c r="C54" s="971" t="s">
        <v>909</v>
      </c>
      <c r="D54" s="971" t="s">
        <v>948</v>
      </c>
      <c r="E54" s="48" t="s">
        <v>949</v>
      </c>
      <c r="F54" s="989">
        <v>46154</v>
      </c>
      <c r="G54" s="989">
        <v>46241</v>
      </c>
      <c r="H54" s="989">
        <v>46241</v>
      </c>
      <c r="I54" s="989">
        <v>46177</v>
      </c>
      <c r="J54" s="971">
        <v>1800</v>
      </c>
      <c r="K54" s="971">
        <v>1</v>
      </c>
      <c r="L54" s="971" t="s">
        <v>767</v>
      </c>
      <c r="M54" s="971" t="s">
        <v>196</v>
      </c>
      <c r="N54" s="971" t="s">
        <v>1206</v>
      </c>
      <c r="O54" s="971" t="s">
        <v>1206</v>
      </c>
      <c r="P54" s="971" t="s">
        <v>556</v>
      </c>
      <c r="Q54" s="971" t="s">
        <v>556</v>
      </c>
      <c r="R54" s="971" t="s">
        <v>1227</v>
      </c>
      <c r="S54" s="971" t="s">
        <v>767</v>
      </c>
      <c r="T54" s="35" t="s">
        <v>1088</v>
      </c>
      <c r="U54" s="990">
        <v>46241</v>
      </c>
      <c r="V54" s="1020">
        <v>46241</v>
      </c>
      <c r="W54" s="971"/>
      <c r="X54" s="990">
        <v>46246</v>
      </c>
      <c r="Y54" s="1288" t="s">
        <v>950</v>
      </c>
      <c r="Z54" s="255" t="s">
        <v>1210</v>
      </c>
    </row>
    <row r="55" s="255" customFormat="1" ht="28.5" hidden="1" customHeight="1" spans="1:27">
      <c r="A55" s="971">
        <f t="shared" si="3"/>
        <v>52</v>
      </c>
      <c r="B55" s="971" t="s">
        <v>209</v>
      </c>
      <c r="C55" s="971" t="s">
        <v>909</v>
      </c>
      <c r="D55" s="971" t="s">
        <v>938</v>
      </c>
      <c r="E55" s="50" t="s">
        <v>939</v>
      </c>
      <c r="F55" s="989">
        <v>46154</v>
      </c>
      <c r="G55" s="989">
        <v>46241</v>
      </c>
      <c r="H55" s="989">
        <v>46241</v>
      </c>
      <c r="I55" s="989">
        <v>46177</v>
      </c>
      <c r="J55" s="971">
        <v>1800</v>
      </c>
      <c r="K55" s="971">
        <v>1</v>
      </c>
      <c r="L55" s="971" t="s">
        <v>767</v>
      </c>
      <c r="M55" s="971" t="s">
        <v>196</v>
      </c>
      <c r="N55" s="971" t="s">
        <v>1206</v>
      </c>
      <c r="O55" s="971" t="s">
        <v>1206</v>
      </c>
      <c r="P55" s="971" t="s">
        <v>556</v>
      </c>
      <c r="Q55" s="971" t="s">
        <v>556</v>
      </c>
      <c r="R55" s="971" t="s">
        <v>1227</v>
      </c>
      <c r="S55" s="971" t="s">
        <v>767</v>
      </c>
      <c r="T55" s="35" t="s">
        <v>1088</v>
      </c>
      <c r="U55" s="990">
        <v>46241</v>
      </c>
      <c r="V55" s="1016">
        <v>46246</v>
      </c>
      <c r="W55" s="971"/>
      <c r="X55" s="990">
        <v>46258</v>
      </c>
      <c r="Y55" s="1288" t="s">
        <v>943</v>
      </c>
      <c r="Z55" s="255" t="s">
        <v>1210</v>
      </c>
    </row>
    <row r="56" s="255" customFormat="1" ht="28.5" customHeight="1" spans="1:27">
      <c r="A56" s="971">
        <f t="shared" si="3"/>
        <v>53</v>
      </c>
      <c r="B56" s="971" t="s">
        <v>209</v>
      </c>
      <c r="C56" s="971" t="s">
        <v>909</v>
      </c>
      <c r="D56" s="971" t="s">
        <v>944</v>
      </c>
      <c r="E56" s="48" t="s">
        <v>945</v>
      </c>
      <c r="F56" s="989">
        <v>46154</v>
      </c>
      <c r="G56" s="989">
        <v>46241</v>
      </c>
      <c r="H56" s="989">
        <v>46241</v>
      </c>
      <c r="I56" s="989">
        <v>46177</v>
      </c>
      <c r="J56" s="971">
        <v>1800</v>
      </c>
      <c r="K56" s="971">
        <v>1</v>
      </c>
      <c r="L56" s="971" t="s">
        <v>767</v>
      </c>
      <c r="M56" s="971" t="s">
        <v>196</v>
      </c>
      <c r="N56" s="971" t="s">
        <v>1206</v>
      </c>
      <c r="O56" s="971" t="s">
        <v>1206</v>
      </c>
      <c r="P56" s="971" t="s">
        <v>556</v>
      </c>
      <c r="Q56" s="971" t="s">
        <v>556</v>
      </c>
      <c r="R56" s="971" t="s">
        <v>1227</v>
      </c>
      <c r="S56" s="971" t="s">
        <v>767</v>
      </c>
      <c r="T56" s="35" t="s">
        <v>1088</v>
      </c>
      <c r="U56" s="990">
        <v>46241</v>
      </c>
      <c r="V56" s="1016">
        <v>46246</v>
      </c>
      <c r="W56" s="971"/>
      <c r="X56" s="990"/>
      <c r="Y56" s="1288" t="s">
        <v>947</v>
      </c>
      <c r="Z56" s="255" t="s">
        <v>1210</v>
      </c>
    </row>
    <row r="57" s="255" customFormat="1" ht="28.5" hidden="1" customHeight="1" spans="1:27">
      <c r="A57" s="971">
        <f t="shared" si="3"/>
        <v>54</v>
      </c>
      <c r="B57" s="971" t="s">
        <v>209</v>
      </c>
      <c r="C57" s="971" t="s">
        <v>909</v>
      </c>
      <c r="D57" s="971" t="s">
        <v>1229</v>
      </c>
      <c r="E57" s="48" t="s">
        <v>1230</v>
      </c>
      <c r="F57" s="989">
        <v>46183</v>
      </c>
      <c r="G57" s="989">
        <v>46247</v>
      </c>
      <c r="H57" s="989">
        <v>46247</v>
      </c>
      <c r="I57" s="989">
        <v>46202</v>
      </c>
      <c r="J57" s="970">
        <v>1800</v>
      </c>
      <c r="K57" s="971">
        <v>1</v>
      </c>
      <c r="L57" s="971" t="s">
        <v>767</v>
      </c>
      <c r="M57" s="971" t="s">
        <v>196</v>
      </c>
      <c r="N57" s="971" t="s">
        <v>1206</v>
      </c>
      <c r="O57" s="971" t="s">
        <v>1206</v>
      </c>
      <c r="P57" s="971" t="s">
        <v>1207</v>
      </c>
      <c r="Q57" s="971" t="s">
        <v>1207</v>
      </c>
      <c r="R57" s="971" t="s">
        <v>1208</v>
      </c>
      <c r="S57" s="971" t="s">
        <v>767</v>
      </c>
      <c r="T57" s="35" t="s">
        <v>1088</v>
      </c>
      <c r="U57" s="990">
        <v>46247</v>
      </c>
      <c r="V57" s="1016">
        <v>46248</v>
      </c>
      <c r="W57" s="971"/>
      <c r="X57" s="990">
        <v>46275</v>
      </c>
      <c r="Y57" s="1288" t="s">
        <v>1231</v>
      </c>
      <c r="Z57" s="255" t="s">
        <v>1210</v>
      </c>
      <c r="AA57" s="255" t="s">
        <v>1211</v>
      </c>
    </row>
    <row r="58" s="255" customFormat="1" ht="28.5" hidden="1" customHeight="1" spans="1:27">
      <c r="A58" s="971">
        <f t="shared" si="3"/>
        <v>55</v>
      </c>
      <c r="B58" s="971" t="s">
        <v>209</v>
      </c>
      <c r="C58" s="971" t="s">
        <v>909</v>
      </c>
      <c r="D58" s="971" t="s">
        <v>1232</v>
      </c>
      <c r="E58" s="48" t="s">
        <v>1233</v>
      </c>
      <c r="F58" s="989">
        <v>46183</v>
      </c>
      <c r="G58" s="989">
        <v>46247</v>
      </c>
      <c r="H58" s="989">
        <v>46247</v>
      </c>
      <c r="I58" s="989">
        <v>46202</v>
      </c>
      <c r="J58" s="970">
        <v>4320</v>
      </c>
      <c r="K58" s="971">
        <v>1</v>
      </c>
      <c r="L58" s="971" t="s">
        <v>767</v>
      </c>
      <c r="M58" s="971" t="s">
        <v>196</v>
      </c>
      <c r="N58" s="971" t="s">
        <v>1206</v>
      </c>
      <c r="O58" s="971" t="s">
        <v>1206</v>
      </c>
      <c r="P58" s="971" t="s">
        <v>1207</v>
      </c>
      <c r="Q58" s="971" t="s">
        <v>1207</v>
      </c>
      <c r="R58" s="971" t="s">
        <v>1208</v>
      </c>
      <c r="S58" s="971" t="s">
        <v>767</v>
      </c>
      <c r="T58" s="35" t="s">
        <v>1088</v>
      </c>
      <c r="U58" s="990">
        <v>46247</v>
      </c>
      <c r="V58" s="1016">
        <v>46248</v>
      </c>
      <c r="W58" s="971"/>
      <c r="X58" s="990">
        <v>46273</v>
      </c>
      <c r="Y58" s="1288" t="s">
        <v>1234</v>
      </c>
      <c r="Z58" s="255" t="s">
        <v>1210</v>
      </c>
      <c r="AA58" s="255" t="s">
        <v>1211</v>
      </c>
    </row>
    <row r="59" s="255" customFormat="1" ht="28.5" hidden="1" customHeight="1" spans="1:27">
      <c r="A59" s="971">
        <f t="shared" si="3"/>
        <v>56</v>
      </c>
      <c r="B59" s="971" t="s">
        <v>209</v>
      </c>
      <c r="C59" s="971" t="s">
        <v>909</v>
      </c>
      <c r="D59" s="971" t="s">
        <v>1235</v>
      </c>
      <c r="E59" s="48" t="s">
        <v>1236</v>
      </c>
      <c r="F59" s="989">
        <v>46183</v>
      </c>
      <c r="G59" s="989">
        <v>46247</v>
      </c>
      <c r="H59" s="989">
        <v>46247</v>
      </c>
      <c r="I59" s="989">
        <v>46202</v>
      </c>
      <c r="J59" s="970">
        <v>1800</v>
      </c>
      <c r="K59" s="971">
        <v>1</v>
      </c>
      <c r="L59" s="971" t="s">
        <v>767</v>
      </c>
      <c r="M59" s="971" t="s">
        <v>196</v>
      </c>
      <c r="N59" s="971" t="s">
        <v>1206</v>
      </c>
      <c r="O59" s="971" t="s">
        <v>1206</v>
      </c>
      <c r="P59" s="971" t="s">
        <v>1207</v>
      </c>
      <c r="Q59" s="971" t="s">
        <v>1207</v>
      </c>
      <c r="R59" s="971" t="s">
        <v>1208</v>
      </c>
      <c r="S59" s="971" t="s">
        <v>767</v>
      </c>
      <c r="T59" s="35" t="s">
        <v>1088</v>
      </c>
      <c r="U59" s="990">
        <v>46247</v>
      </c>
      <c r="V59" s="1016">
        <v>46248</v>
      </c>
      <c r="W59" s="971"/>
      <c r="X59" s="990">
        <v>46254</v>
      </c>
      <c r="Y59" s="1288" t="s">
        <v>1237</v>
      </c>
      <c r="Z59" s="255" t="s">
        <v>1210</v>
      </c>
      <c r="AA59" s="255" t="s">
        <v>1211</v>
      </c>
    </row>
    <row r="60" s="255" customFormat="1" ht="28.5" hidden="1" customHeight="1" spans="1:27">
      <c r="A60" s="971">
        <f t="shared" si="3"/>
        <v>57</v>
      </c>
      <c r="B60" s="971" t="s">
        <v>209</v>
      </c>
      <c r="C60" s="971" t="s">
        <v>909</v>
      </c>
      <c r="D60" s="971" t="s">
        <v>1238</v>
      </c>
      <c r="E60" s="48" t="s">
        <v>1239</v>
      </c>
      <c r="F60" s="989">
        <v>46183</v>
      </c>
      <c r="G60" s="989">
        <v>46247</v>
      </c>
      <c r="H60" s="989">
        <v>46247</v>
      </c>
      <c r="I60" s="989">
        <v>46202</v>
      </c>
      <c r="J60" s="970">
        <v>2160</v>
      </c>
      <c r="K60" s="971">
        <v>1</v>
      </c>
      <c r="L60" s="971" t="s">
        <v>767</v>
      </c>
      <c r="M60" s="971" t="s">
        <v>196</v>
      </c>
      <c r="N60" s="971" t="s">
        <v>1206</v>
      </c>
      <c r="O60" s="971" t="s">
        <v>1206</v>
      </c>
      <c r="P60" s="971" t="s">
        <v>1207</v>
      </c>
      <c r="Q60" s="971" t="s">
        <v>1207</v>
      </c>
      <c r="R60" s="971" t="s">
        <v>1208</v>
      </c>
      <c r="S60" s="971" t="s">
        <v>767</v>
      </c>
      <c r="T60" s="35" t="s">
        <v>1088</v>
      </c>
      <c r="U60" s="990">
        <v>46247</v>
      </c>
      <c r="V60" s="1016">
        <v>46248</v>
      </c>
      <c r="W60" s="971"/>
      <c r="X60" s="990">
        <v>46268</v>
      </c>
      <c r="Y60" s="1288" t="s">
        <v>1240</v>
      </c>
      <c r="Z60" s="255" t="s">
        <v>1210</v>
      </c>
      <c r="AA60" s="255" t="s">
        <v>1211</v>
      </c>
    </row>
    <row r="61" s="255" customFormat="1" ht="28.5" hidden="1" customHeight="1" spans="1:27">
      <c r="A61" s="971">
        <f t="shared" si="3"/>
        <v>58</v>
      </c>
      <c r="B61" s="971" t="s">
        <v>209</v>
      </c>
      <c r="C61" s="971" t="s">
        <v>909</v>
      </c>
      <c r="D61" s="971" t="s">
        <v>1241</v>
      </c>
      <c r="E61" s="48" t="s">
        <v>1242</v>
      </c>
      <c r="F61" s="989">
        <v>46183</v>
      </c>
      <c r="G61" s="989">
        <v>46247</v>
      </c>
      <c r="H61" s="989">
        <v>46247</v>
      </c>
      <c r="I61" s="989">
        <v>46202</v>
      </c>
      <c r="J61" s="970">
        <v>2340</v>
      </c>
      <c r="K61" s="971">
        <v>1</v>
      </c>
      <c r="L61" s="971" t="s">
        <v>767</v>
      </c>
      <c r="M61" s="971" t="s">
        <v>196</v>
      </c>
      <c r="N61" s="971" t="s">
        <v>1206</v>
      </c>
      <c r="O61" s="971" t="s">
        <v>1206</v>
      </c>
      <c r="P61" s="971" t="s">
        <v>1207</v>
      </c>
      <c r="Q61" s="971" t="s">
        <v>1207</v>
      </c>
      <c r="R61" s="971" t="s">
        <v>1208</v>
      </c>
      <c r="S61" s="971" t="s">
        <v>767</v>
      </c>
      <c r="T61" s="35" t="s">
        <v>1088</v>
      </c>
      <c r="U61" s="990">
        <v>46247</v>
      </c>
      <c r="V61" s="1016">
        <v>46248</v>
      </c>
      <c r="W61" s="971"/>
      <c r="X61" s="990">
        <v>46265</v>
      </c>
      <c r="Y61" s="1288" t="s">
        <v>1243</v>
      </c>
      <c r="Z61" s="255" t="s">
        <v>1210</v>
      </c>
      <c r="AA61" s="255" t="s">
        <v>1211</v>
      </c>
    </row>
    <row r="62" s="255" customFormat="1" ht="28.5" hidden="1" customHeight="1" spans="1:27">
      <c r="A62" s="971">
        <f t="shared" si="3"/>
        <v>59</v>
      </c>
      <c r="B62" s="971" t="s">
        <v>209</v>
      </c>
      <c r="C62" s="971" t="s">
        <v>909</v>
      </c>
      <c r="D62" s="971" t="s">
        <v>1244</v>
      </c>
      <c r="E62" s="48" t="s">
        <v>1245</v>
      </c>
      <c r="F62" s="989">
        <v>46183</v>
      </c>
      <c r="G62" s="989">
        <v>46247</v>
      </c>
      <c r="H62" s="989">
        <v>46247</v>
      </c>
      <c r="I62" s="989">
        <v>46202</v>
      </c>
      <c r="J62" s="970">
        <v>2340</v>
      </c>
      <c r="K62" s="971">
        <v>1</v>
      </c>
      <c r="L62" s="971" t="s">
        <v>767</v>
      </c>
      <c r="M62" s="971" t="s">
        <v>196</v>
      </c>
      <c r="N62" s="971" t="s">
        <v>1206</v>
      </c>
      <c r="O62" s="971" t="s">
        <v>1206</v>
      </c>
      <c r="P62" s="971" t="s">
        <v>1207</v>
      </c>
      <c r="Q62" s="971" t="s">
        <v>1207</v>
      </c>
      <c r="R62" s="971" t="s">
        <v>1208</v>
      </c>
      <c r="S62" s="971" t="s">
        <v>767</v>
      </c>
      <c r="T62" s="35" t="s">
        <v>1088</v>
      </c>
      <c r="U62" s="990">
        <v>46247</v>
      </c>
      <c r="V62" s="1016">
        <v>46248</v>
      </c>
      <c r="W62" s="971"/>
      <c r="X62" s="990">
        <v>46267</v>
      </c>
      <c r="Y62" s="1288" t="s">
        <v>1246</v>
      </c>
      <c r="Z62" s="255" t="s">
        <v>1210</v>
      </c>
      <c r="AA62" s="255" t="s">
        <v>1211</v>
      </c>
    </row>
    <row r="63" s="255" customFormat="1" ht="28.5" hidden="1" customHeight="1" spans="1:27">
      <c r="A63" s="971">
        <f t="shared" si="3"/>
        <v>60</v>
      </c>
      <c r="B63" s="971" t="s">
        <v>209</v>
      </c>
      <c r="C63" s="971" t="s">
        <v>909</v>
      </c>
      <c r="D63" s="971" t="s">
        <v>1247</v>
      </c>
      <c r="E63" s="48" t="s">
        <v>1248</v>
      </c>
      <c r="F63" s="989">
        <v>46170</v>
      </c>
      <c r="G63" s="989">
        <v>46252</v>
      </c>
      <c r="H63" s="989">
        <v>46252</v>
      </c>
      <c r="I63" s="989">
        <v>46196</v>
      </c>
      <c r="J63" s="971">
        <v>2880</v>
      </c>
      <c r="K63" s="971">
        <v>1</v>
      </c>
      <c r="L63" s="971" t="s">
        <v>767</v>
      </c>
      <c r="M63" s="971" t="s">
        <v>196</v>
      </c>
      <c r="N63" s="971" t="s">
        <v>1206</v>
      </c>
      <c r="O63" s="971" t="s">
        <v>1206</v>
      </c>
      <c r="P63" s="971" t="s">
        <v>1249</v>
      </c>
      <c r="Q63" s="971" t="s">
        <v>987</v>
      </c>
      <c r="R63" s="971" t="s">
        <v>1227</v>
      </c>
      <c r="S63" s="971" t="s">
        <v>767</v>
      </c>
      <c r="T63" s="35" t="s">
        <v>1088</v>
      </c>
      <c r="U63" s="990">
        <v>46252</v>
      </c>
      <c r="V63" s="1016">
        <v>46253</v>
      </c>
      <c r="W63" s="971"/>
      <c r="X63" s="990">
        <v>46273</v>
      </c>
      <c r="Y63" s="971">
        <v>1003448936</v>
      </c>
      <c r="Z63" s="255" t="s">
        <v>1210</v>
      </c>
    </row>
    <row r="64" s="255" customFormat="1" ht="28.5" customHeight="1" spans="1:27">
      <c r="A64" s="971">
        <f t="shared" si="3"/>
        <v>61</v>
      </c>
      <c r="B64" s="971" t="s">
        <v>209</v>
      </c>
      <c r="C64" s="971" t="s">
        <v>909</v>
      </c>
      <c r="D64" s="971" t="s">
        <v>954</v>
      </c>
      <c r="E64" s="48" t="s">
        <v>955</v>
      </c>
      <c r="F64" s="989">
        <v>46154</v>
      </c>
      <c r="G64" s="989">
        <v>46254</v>
      </c>
      <c r="H64" s="989">
        <v>46254</v>
      </c>
      <c r="I64" s="989">
        <v>46177</v>
      </c>
      <c r="J64" s="971">
        <v>1800</v>
      </c>
      <c r="K64" s="971">
        <v>1</v>
      </c>
      <c r="L64" s="971" t="s">
        <v>767</v>
      </c>
      <c r="M64" s="971" t="s">
        <v>196</v>
      </c>
      <c r="N64" s="971" t="s">
        <v>1206</v>
      </c>
      <c r="O64" s="971" t="s">
        <v>1206</v>
      </c>
      <c r="P64" s="971" t="s">
        <v>556</v>
      </c>
      <c r="Q64" s="971" t="s">
        <v>556</v>
      </c>
      <c r="R64" s="971" t="s">
        <v>1227</v>
      </c>
      <c r="S64" s="971" t="s">
        <v>767</v>
      </c>
      <c r="T64" s="45" t="s">
        <v>1250</v>
      </c>
      <c r="U64" s="990">
        <v>46254</v>
      </c>
      <c r="V64" s="1016">
        <v>46253</v>
      </c>
      <c r="W64" s="971"/>
      <c r="X64" s="990"/>
      <c r="Y64" s="1288" t="s">
        <v>956</v>
      </c>
      <c r="Z64" s="998" t="s">
        <v>1100</v>
      </c>
    </row>
    <row r="65" s="255" customFormat="1" ht="28.5" hidden="1" customHeight="1" spans="1:27">
      <c r="A65" s="971">
        <f t="shared" si="3"/>
        <v>62</v>
      </c>
      <c r="B65" s="971" t="s">
        <v>209</v>
      </c>
      <c r="C65" s="971" t="s">
        <v>909</v>
      </c>
      <c r="D65" s="971" t="s">
        <v>957</v>
      </c>
      <c r="E65" s="48" t="s">
        <v>958</v>
      </c>
      <c r="F65" s="989">
        <v>46154</v>
      </c>
      <c r="G65" s="989">
        <v>46254</v>
      </c>
      <c r="H65" s="989">
        <v>46254</v>
      </c>
      <c r="I65" s="989">
        <v>46177</v>
      </c>
      <c r="J65" s="971">
        <v>1800</v>
      </c>
      <c r="K65" s="971">
        <v>1</v>
      </c>
      <c r="L65" s="971" t="s">
        <v>767</v>
      </c>
      <c r="M65" s="971" t="s">
        <v>196</v>
      </c>
      <c r="N65" s="971" t="s">
        <v>1206</v>
      </c>
      <c r="O65" s="971" t="s">
        <v>1206</v>
      </c>
      <c r="P65" s="971" t="s">
        <v>556</v>
      </c>
      <c r="Q65" s="971" t="s">
        <v>556</v>
      </c>
      <c r="R65" s="971" t="s">
        <v>1227</v>
      </c>
      <c r="S65" s="971" t="s">
        <v>767</v>
      </c>
      <c r="T65" s="35" t="s">
        <v>1088</v>
      </c>
      <c r="U65" s="990">
        <v>46254</v>
      </c>
      <c r="V65" s="1016">
        <v>46253</v>
      </c>
      <c r="W65" s="971"/>
      <c r="X65" s="990">
        <v>46266</v>
      </c>
      <c r="Y65" s="1288" t="s">
        <v>959</v>
      </c>
      <c r="Z65" s="255" t="s">
        <v>1210</v>
      </c>
    </row>
    <row r="66" s="255" customFormat="1" ht="28.5" customHeight="1" spans="1:27">
      <c r="A66" s="971">
        <f t="shared" si="3"/>
        <v>63</v>
      </c>
      <c r="B66" s="971" t="s">
        <v>209</v>
      </c>
      <c r="C66" s="971" t="s">
        <v>909</v>
      </c>
      <c r="D66" s="971" t="s">
        <v>960</v>
      </c>
      <c r="E66" s="48" t="s">
        <v>961</v>
      </c>
      <c r="F66" s="989">
        <v>46154</v>
      </c>
      <c r="G66" s="989">
        <v>46254</v>
      </c>
      <c r="H66" s="989">
        <v>46254</v>
      </c>
      <c r="I66" s="989">
        <v>46177</v>
      </c>
      <c r="J66" s="971">
        <v>1800</v>
      </c>
      <c r="K66" s="971">
        <v>1</v>
      </c>
      <c r="L66" s="971" t="s">
        <v>767</v>
      </c>
      <c r="M66" s="971" t="s">
        <v>196</v>
      </c>
      <c r="N66" s="971" t="s">
        <v>1206</v>
      </c>
      <c r="O66" s="971" t="s">
        <v>1206</v>
      </c>
      <c r="P66" s="971" t="s">
        <v>556</v>
      </c>
      <c r="Q66" s="971" t="s">
        <v>556</v>
      </c>
      <c r="R66" s="971" t="s">
        <v>1227</v>
      </c>
      <c r="S66" s="971" t="s">
        <v>767</v>
      </c>
      <c r="T66" s="35" t="s">
        <v>1088</v>
      </c>
      <c r="U66" s="990">
        <v>46254</v>
      </c>
      <c r="V66" s="1016">
        <v>46253</v>
      </c>
      <c r="W66" s="971"/>
      <c r="X66" s="990"/>
      <c r="Y66" s="1288" t="s">
        <v>962</v>
      </c>
      <c r="Z66" s="255" t="s">
        <v>1210</v>
      </c>
    </row>
    <row r="67" s="255" customFormat="1" ht="28.5" hidden="1" customHeight="1" spans="1:27">
      <c r="A67" s="971">
        <f t="shared" si="3"/>
        <v>64</v>
      </c>
      <c r="B67" s="971" t="s">
        <v>209</v>
      </c>
      <c r="C67" s="971" t="s">
        <v>909</v>
      </c>
      <c r="D67" s="971" t="s">
        <v>963</v>
      </c>
      <c r="E67" s="48" t="s">
        <v>964</v>
      </c>
      <c r="F67" s="989">
        <v>46154</v>
      </c>
      <c r="G67" s="989">
        <v>46254</v>
      </c>
      <c r="H67" s="989">
        <v>46254</v>
      </c>
      <c r="I67" s="989">
        <v>46177</v>
      </c>
      <c r="J67" s="971">
        <v>1800</v>
      </c>
      <c r="K67" s="971">
        <v>1</v>
      </c>
      <c r="L67" s="971" t="s">
        <v>767</v>
      </c>
      <c r="M67" s="971" t="s">
        <v>196</v>
      </c>
      <c r="N67" s="971" t="s">
        <v>1206</v>
      </c>
      <c r="O67" s="971" t="s">
        <v>1206</v>
      </c>
      <c r="P67" s="971" t="s">
        <v>556</v>
      </c>
      <c r="Q67" s="971" t="s">
        <v>556</v>
      </c>
      <c r="R67" s="971" t="s">
        <v>1227</v>
      </c>
      <c r="S67" s="971" t="s">
        <v>767</v>
      </c>
      <c r="T67" s="35" t="s">
        <v>1088</v>
      </c>
      <c r="U67" s="990">
        <v>46254</v>
      </c>
      <c r="V67" s="1016">
        <v>46253</v>
      </c>
      <c r="W67" s="971"/>
      <c r="X67" s="990">
        <v>46275</v>
      </c>
      <c r="Y67" s="1288" t="s">
        <v>965</v>
      </c>
      <c r="Z67" s="255" t="s">
        <v>1210</v>
      </c>
    </row>
    <row r="68" s="255" customFormat="1" ht="28.5" hidden="1" customHeight="1" spans="1:27">
      <c r="A68" s="971">
        <f t="shared" ref="A68:A73" si="4">ROW()-3</f>
        <v>65</v>
      </c>
      <c r="B68" s="971" t="s">
        <v>209</v>
      </c>
      <c r="C68" s="971" t="s">
        <v>909</v>
      </c>
      <c r="D68" s="971" t="s">
        <v>1251</v>
      </c>
      <c r="E68" s="48" t="s">
        <v>1252</v>
      </c>
      <c r="F68" s="989">
        <v>46183</v>
      </c>
      <c r="G68" s="989">
        <v>46254</v>
      </c>
      <c r="H68" s="989">
        <v>46254</v>
      </c>
      <c r="I68" s="989">
        <v>46202</v>
      </c>
      <c r="J68" s="970">
        <v>2160</v>
      </c>
      <c r="K68" s="971">
        <v>1</v>
      </c>
      <c r="L68" s="971" t="s">
        <v>767</v>
      </c>
      <c r="M68" s="971" t="s">
        <v>196</v>
      </c>
      <c r="N68" s="971" t="s">
        <v>1206</v>
      </c>
      <c r="O68" s="971" t="s">
        <v>1206</v>
      </c>
      <c r="P68" s="971" t="s">
        <v>1207</v>
      </c>
      <c r="Q68" s="971" t="s">
        <v>1207</v>
      </c>
      <c r="R68" s="971" t="s">
        <v>1208</v>
      </c>
      <c r="S68" s="971" t="s">
        <v>767</v>
      </c>
      <c r="T68" s="35" t="s">
        <v>1088</v>
      </c>
      <c r="U68" s="990">
        <v>46254</v>
      </c>
      <c r="V68" s="1016">
        <v>46253</v>
      </c>
      <c r="W68" s="971"/>
      <c r="X68" s="990">
        <v>46273</v>
      </c>
      <c r="Y68" s="1288" t="s">
        <v>1253</v>
      </c>
      <c r="Z68" s="255" t="s">
        <v>1210</v>
      </c>
      <c r="AA68" s="255" t="s">
        <v>1211</v>
      </c>
    </row>
    <row r="69" s="255" customFormat="1" ht="28.5" customHeight="1" spans="1:27">
      <c r="A69" s="971">
        <f t="shared" si="4"/>
        <v>66</v>
      </c>
      <c r="B69" s="971" t="s">
        <v>209</v>
      </c>
      <c r="C69" s="971" t="s">
        <v>909</v>
      </c>
      <c r="D69" s="971" t="s">
        <v>1254</v>
      </c>
      <c r="E69" s="48" t="s">
        <v>1255</v>
      </c>
      <c r="F69" s="989">
        <v>46183</v>
      </c>
      <c r="G69" s="989">
        <v>46254</v>
      </c>
      <c r="H69" s="989">
        <v>46254</v>
      </c>
      <c r="I69" s="989">
        <v>46202</v>
      </c>
      <c r="J69" s="970">
        <v>4320</v>
      </c>
      <c r="K69" s="971">
        <v>1</v>
      </c>
      <c r="L69" s="971" t="s">
        <v>767</v>
      </c>
      <c r="M69" s="971" t="s">
        <v>196</v>
      </c>
      <c r="N69" s="971" t="s">
        <v>1206</v>
      </c>
      <c r="O69" s="971" t="s">
        <v>1206</v>
      </c>
      <c r="P69" s="971" t="s">
        <v>1207</v>
      </c>
      <c r="Q69" s="971" t="s">
        <v>1207</v>
      </c>
      <c r="R69" s="971" t="s">
        <v>1208</v>
      </c>
      <c r="S69" s="971" t="s">
        <v>767</v>
      </c>
      <c r="T69" s="35" t="s">
        <v>1088</v>
      </c>
      <c r="U69" s="990">
        <v>46254</v>
      </c>
      <c r="V69" s="1016">
        <v>46253</v>
      </c>
      <c r="W69" s="971"/>
      <c r="X69" s="990"/>
      <c r="Y69" s="1288" t="s">
        <v>1256</v>
      </c>
      <c r="Z69" s="255" t="s">
        <v>1210</v>
      </c>
      <c r="AA69" s="255" t="s">
        <v>1211</v>
      </c>
    </row>
    <row r="70" s="255" customFormat="1" ht="28.5" customHeight="1" spans="1:27">
      <c r="A70" s="971">
        <f t="shared" si="4"/>
        <v>67</v>
      </c>
      <c r="B70" s="971" t="s">
        <v>209</v>
      </c>
      <c r="C70" s="971" t="s">
        <v>909</v>
      </c>
      <c r="D70" s="971" t="s">
        <v>1257</v>
      </c>
      <c r="E70" s="48" t="s">
        <v>1258</v>
      </c>
      <c r="F70" s="989">
        <v>46183</v>
      </c>
      <c r="G70" s="989">
        <v>46254</v>
      </c>
      <c r="H70" s="989">
        <v>46254</v>
      </c>
      <c r="I70" s="989">
        <v>46202</v>
      </c>
      <c r="J70" s="970">
        <v>1800</v>
      </c>
      <c r="K70" s="971">
        <v>1</v>
      </c>
      <c r="L70" s="971" t="s">
        <v>767</v>
      </c>
      <c r="M70" s="971" t="s">
        <v>196</v>
      </c>
      <c r="N70" s="971" t="s">
        <v>1206</v>
      </c>
      <c r="O70" s="971" t="s">
        <v>1206</v>
      </c>
      <c r="P70" s="971" t="s">
        <v>1207</v>
      </c>
      <c r="Q70" s="971" t="s">
        <v>1207</v>
      </c>
      <c r="R70" s="971" t="s">
        <v>1208</v>
      </c>
      <c r="S70" s="971" t="s">
        <v>767</v>
      </c>
      <c r="T70" s="35" t="s">
        <v>1088</v>
      </c>
      <c r="U70" s="990">
        <v>46254</v>
      </c>
      <c r="V70" s="1016">
        <v>46253</v>
      </c>
      <c r="W70" s="971"/>
      <c r="X70" s="990"/>
      <c r="Y70" s="1288" t="s">
        <v>1259</v>
      </c>
      <c r="Z70" s="255" t="s">
        <v>1210</v>
      </c>
      <c r="AA70" s="255" t="s">
        <v>1211</v>
      </c>
    </row>
    <row r="71" s="255" customFormat="1" ht="28.5" hidden="1" customHeight="1" spans="1:27">
      <c r="A71" s="971">
        <f t="shared" si="4"/>
        <v>68</v>
      </c>
      <c r="B71" s="971" t="s">
        <v>209</v>
      </c>
      <c r="C71" s="971" t="s">
        <v>909</v>
      </c>
      <c r="D71" s="971" t="s">
        <v>1260</v>
      </c>
      <c r="E71" s="48" t="s">
        <v>1261</v>
      </c>
      <c r="F71" s="989">
        <v>46183</v>
      </c>
      <c r="G71" s="989">
        <v>46254</v>
      </c>
      <c r="H71" s="989">
        <v>46254</v>
      </c>
      <c r="I71" s="989">
        <v>46202</v>
      </c>
      <c r="J71" s="970">
        <v>2340</v>
      </c>
      <c r="K71" s="971">
        <v>1</v>
      </c>
      <c r="L71" s="971" t="s">
        <v>767</v>
      </c>
      <c r="M71" s="971" t="s">
        <v>196</v>
      </c>
      <c r="N71" s="971" t="s">
        <v>1206</v>
      </c>
      <c r="O71" s="971" t="s">
        <v>1206</v>
      </c>
      <c r="P71" s="971" t="s">
        <v>1207</v>
      </c>
      <c r="Q71" s="971" t="s">
        <v>1207</v>
      </c>
      <c r="R71" s="971" t="s">
        <v>1208</v>
      </c>
      <c r="S71" s="971" t="s">
        <v>767</v>
      </c>
      <c r="T71" s="35" t="s">
        <v>1088</v>
      </c>
      <c r="U71" s="990">
        <v>46254</v>
      </c>
      <c r="V71" s="1016">
        <v>46253</v>
      </c>
      <c r="W71" s="971"/>
      <c r="X71" s="990">
        <v>46273</v>
      </c>
      <c r="Y71" s="1288" t="s">
        <v>1262</v>
      </c>
      <c r="Z71" s="255" t="s">
        <v>1210</v>
      </c>
      <c r="AA71" s="255" t="s">
        <v>1211</v>
      </c>
    </row>
    <row r="72" s="255" customFormat="1" ht="28.5" hidden="1" customHeight="1" spans="1:27">
      <c r="A72" s="971">
        <f t="shared" si="4"/>
        <v>69</v>
      </c>
      <c r="B72" s="971" t="s">
        <v>209</v>
      </c>
      <c r="C72" s="971" t="s">
        <v>909</v>
      </c>
      <c r="D72" s="971" t="s">
        <v>1263</v>
      </c>
      <c r="E72" s="48" t="s">
        <v>1264</v>
      </c>
      <c r="F72" s="989">
        <v>46183</v>
      </c>
      <c r="G72" s="989">
        <v>46254</v>
      </c>
      <c r="H72" s="989">
        <v>46254</v>
      </c>
      <c r="I72" s="989">
        <v>46202</v>
      </c>
      <c r="J72" s="970">
        <v>1800</v>
      </c>
      <c r="K72" s="971">
        <v>1</v>
      </c>
      <c r="L72" s="971" t="s">
        <v>767</v>
      </c>
      <c r="M72" s="971" t="s">
        <v>196</v>
      </c>
      <c r="N72" s="971" t="s">
        <v>1206</v>
      </c>
      <c r="O72" s="971" t="s">
        <v>1206</v>
      </c>
      <c r="P72" s="971" t="s">
        <v>1207</v>
      </c>
      <c r="Q72" s="971" t="s">
        <v>1207</v>
      </c>
      <c r="R72" s="971" t="s">
        <v>1208</v>
      </c>
      <c r="S72" s="971" t="s">
        <v>767</v>
      </c>
      <c r="T72" s="35" t="s">
        <v>1088</v>
      </c>
      <c r="U72" s="990">
        <v>46254</v>
      </c>
      <c r="V72" s="1016">
        <v>46253</v>
      </c>
      <c r="W72" s="971"/>
      <c r="X72" s="990">
        <v>46267</v>
      </c>
      <c r="Y72" s="1288" t="s">
        <v>1265</v>
      </c>
      <c r="Z72" s="255" t="s">
        <v>1210</v>
      </c>
      <c r="AA72" s="255" t="s">
        <v>1211</v>
      </c>
    </row>
    <row r="73" s="255" customFormat="1" ht="28.5" hidden="1" customHeight="1" spans="1:27">
      <c r="A73" s="971">
        <f t="shared" si="4"/>
        <v>70</v>
      </c>
      <c r="B73" s="971" t="s">
        <v>209</v>
      </c>
      <c r="C73" s="971" t="s">
        <v>909</v>
      </c>
      <c r="D73" s="971" t="s">
        <v>1266</v>
      </c>
      <c r="E73" s="48" t="s">
        <v>1267</v>
      </c>
      <c r="F73" s="989">
        <v>46183</v>
      </c>
      <c r="G73" s="989">
        <v>46254</v>
      </c>
      <c r="H73" s="989">
        <v>46254</v>
      </c>
      <c r="I73" s="989">
        <v>46202</v>
      </c>
      <c r="J73" s="970">
        <v>2340</v>
      </c>
      <c r="K73" s="971">
        <v>1</v>
      </c>
      <c r="L73" s="971" t="s">
        <v>767</v>
      </c>
      <c r="M73" s="971" t="s">
        <v>196</v>
      </c>
      <c r="N73" s="971" t="s">
        <v>1206</v>
      </c>
      <c r="O73" s="971" t="s">
        <v>1206</v>
      </c>
      <c r="P73" s="971" t="s">
        <v>1207</v>
      </c>
      <c r="Q73" s="971" t="s">
        <v>1207</v>
      </c>
      <c r="R73" s="971" t="s">
        <v>1208</v>
      </c>
      <c r="S73" s="971" t="s">
        <v>767</v>
      </c>
      <c r="T73" s="35" t="s">
        <v>1088</v>
      </c>
      <c r="U73" s="990">
        <v>46254</v>
      </c>
      <c r="V73" s="1016">
        <v>46253</v>
      </c>
      <c r="W73" s="971"/>
      <c r="X73" s="990">
        <v>46259</v>
      </c>
      <c r="Y73" s="1288" t="s">
        <v>1268</v>
      </c>
      <c r="Z73" s="255" t="s">
        <v>1210</v>
      </c>
      <c r="AA73" s="255" t="s">
        <v>1211</v>
      </c>
    </row>
    <row r="74" s="255" customFormat="1" ht="28.5" customHeight="1" spans="1:27">
      <c r="A74" s="971">
        <f t="shared" ref="A74:A79" si="5">ROW()-3</f>
        <v>71</v>
      </c>
      <c r="B74" s="971" t="s">
        <v>209</v>
      </c>
      <c r="C74" s="971" t="s">
        <v>909</v>
      </c>
      <c r="D74" s="971" t="s">
        <v>1269</v>
      </c>
      <c r="E74" s="48" t="s">
        <v>1270</v>
      </c>
      <c r="F74" s="989">
        <v>46170</v>
      </c>
      <c r="G74" s="989">
        <v>46259</v>
      </c>
      <c r="H74" s="989">
        <v>46259</v>
      </c>
      <c r="I74" s="989">
        <v>46196</v>
      </c>
      <c r="J74" s="971">
        <v>1800</v>
      </c>
      <c r="K74" s="971">
        <v>1</v>
      </c>
      <c r="L74" s="971" t="s">
        <v>767</v>
      </c>
      <c r="M74" s="971" t="s">
        <v>196</v>
      </c>
      <c r="N74" s="971" t="s">
        <v>1206</v>
      </c>
      <c r="O74" s="971" t="s">
        <v>1206</v>
      </c>
      <c r="P74" s="971" t="s">
        <v>1249</v>
      </c>
      <c r="Q74" s="971" t="s">
        <v>987</v>
      </c>
      <c r="R74" s="971" t="s">
        <v>1227</v>
      </c>
      <c r="S74" s="971" t="s">
        <v>767</v>
      </c>
      <c r="T74" s="35" t="s">
        <v>1088</v>
      </c>
      <c r="U74" s="990">
        <v>46259</v>
      </c>
      <c r="V74" s="1016">
        <v>46260</v>
      </c>
      <c r="W74" s="971"/>
      <c r="X74" s="990"/>
      <c r="Y74" s="971">
        <v>1003448804</v>
      </c>
      <c r="Z74" s="255" t="s">
        <v>1210</v>
      </c>
    </row>
    <row r="75" s="255" customFormat="1" ht="28.5" customHeight="1" spans="1:27">
      <c r="A75" s="971">
        <f t="shared" si="5"/>
        <v>72</v>
      </c>
      <c r="B75" s="971" t="s">
        <v>209</v>
      </c>
      <c r="C75" s="971" t="s">
        <v>909</v>
      </c>
      <c r="D75" s="971" t="s">
        <v>1271</v>
      </c>
      <c r="E75" s="48" t="s">
        <v>1272</v>
      </c>
      <c r="F75" s="989">
        <v>46170</v>
      </c>
      <c r="G75" s="989">
        <v>46259</v>
      </c>
      <c r="H75" s="989">
        <v>46259</v>
      </c>
      <c r="I75" s="989">
        <v>46196</v>
      </c>
      <c r="J75" s="971">
        <v>1800</v>
      </c>
      <c r="K75" s="971">
        <v>1</v>
      </c>
      <c r="L75" s="971" t="s">
        <v>767</v>
      </c>
      <c r="M75" s="971" t="s">
        <v>196</v>
      </c>
      <c r="N75" s="971" t="s">
        <v>1206</v>
      </c>
      <c r="O75" s="971" t="s">
        <v>1206</v>
      </c>
      <c r="P75" s="971" t="s">
        <v>1249</v>
      </c>
      <c r="Q75" s="971" t="s">
        <v>987</v>
      </c>
      <c r="R75" s="971" t="s">
        <v>1227</v>
      </c>
      <c r="S75" s="971" t="s">
        <v>767</v>
      </c>
      <c r="T75" s="45" t="s">
        <v>1250</v>
      </c>
      <c r="U75" s="990">
        <v>46259</v>
      </c>
      <c r="V75" s="1016">
        <v>46260</v>
      </c>
      <c r="W75" s="971"/>
      <c r="X75" s="990"/>
      <c r="Y75" s="971">
        <v>1003449394</v>
      </c>
      <c r="Z75" s="998" t="s">
        <v>1100</v>
      </c>
    </row>
    <row r="76" s="255" customFormat="1" ht="28.5" hidden="1" customHeight="1" spans="1:27">
      <c r="A76" s="971">
        <f t="shared" si="5"/>
        <v>73</v>
      </c>
      <c r="B76" s="971" t="s">
        <v>209</v>
      </c>
      <c r="C76" s="971" t="s">
        <v>909</v>
      </c>
      <c r="D76" s="971" t="s">
        <v>1273</v>
      </c>
      <c r="E76" s="48" t="s">
        <v>1274</v>
      </c>
      <c r="F76" s="989">
        <v>46170</v>
      </c>
      <c r="G76" s="989">
        <v>46259</v>
      </c>
      <c r="H76" s="989">
        <v>46259</v>
      </c>
      <c r="I76" s="989">
        <v>46196</v>
      </c>
      <c r="J76" s="971">
        <v>2880</v>
      </c>
      <c r="K76" s="971">
        <v>1</v>
      </c>
      <c r="L76" s="971" t="s">
        <v>767</v>
      </c>
      <c r="M76" s="971" t="s">
        <v>196</v>
      </c>
      <c r="N76" s="971" t="s">
        <v>1206</v>
      </c>
      <c r="O76" s="971" t="s">
        <v>1206</v>
      </c>
      <c r="P76" s="971" t="s">
        <v>1249</v>
      </c>
      <c r="Q76" s="971" t="s">
        <v>987</v>
      </c>
      <c r="R76" s="971" t="s">
        <v>1227</v>
      </c>
      <c r="S76" s="971" t="s">
        <v>767</v>
      </c>
      <c r="T76" s="35" t="s">
        <v>1088</v>
      </c>
      <c r="U76" s="990">
        <v>46259</v>
      </c>
      <c r="V76" s="1016">
        <v>46260</v>
      </c>
      <c r="W76" s="971"/>
      <c r="X76" s="990">
        <v>46273</v>
      </c>
      <c r="Y76" s="971">
        <v>1003449412</v>
      </c>
      <c r="Z76" s="255" t="s">
        <v>1210</v>
      </c>
    </row>
    <row r="77" s="255" customFormat="1" ht="28.5" customHeight="1" spans="1:27">
      <c r="A77" s="971">
        <f t="shared" si="5"/>
        <v>74</v>
      </c>
      <c r="B77" s="971" t="s">
        <v>209</v>
      </c>
      <c r="C77" s="971" t="s">
        <v>909</v>
      </c>
      <c r="D77" s="971" t="s">
        <v>1275</v>
      </c>
      <c r="E77" s="48" t="s">
        <v>1276</v>
      </c>
      <c r="F77" s="989">
        <v>46170</v>
      </c>
      <c r="G77" s="989">
        <v>46259</v>
      </c>
      <c r="H77" s="989">
        <v>46259</v>
      </c>
      <c r="I77" s="989">
        <v>46196</v>
      </c>
      <c r="J77" s="971">
        <v>1800</v>
      </c>
      <c r="K77" s="971">
        <v>1</v>
      </c>
      <c r="L77" s="971" t="s">
        <v>767</v>
      </c>
      <c r="M77" s="971" t="s">
        <v>196</v>
      </c>
      <c r="N77" s="971" t="s">
        <v>1206</v>
      </c>
      <c r="O77" s="971" t="s">
        <v>1206</v>
      </c>
      <c r="P77" s="971" t="s">
        <v>1249</v>
      </c>
      <c r="Q77" s="971" t="s">
        <v>987</v>
      </c>
      <c r="R77" s="971" t="s">
        <v>1227</v>
      </c>
      <c r="S77" s="971" t="s">
        <v>767</v>
      </c>
      <c r="T77" s="35" t="s">
        <v>1088</v>
      </c>
      <c r="U77" s="990">
        <v>46259</v>
      </c>
      <c r="V77" s="1016">
        <v>46260</v>
      </c>
      <c r="W77" s="971"/>
      <c r="X77" s="990"/>
      <c r="Y77" s="971">
        <v>1003449455</v>
      </c>
      <c r="Z77" s="255" t="s">
        <v>1210</v>
      </c>
    </row>
    <row r="78" s="255" customFormat="1" ht="28.5" customHeight="1" spans="1:27">
      <c r="A78" s="971">
        <f t="shared" si="5"/>
        <v>75</v>
      </c>
      <c r="B78" s="971" t="s">
        <v>209</v>
      </c>
      <c r="C78" s="971" t="s">
        <v>909</v>
      </c>
      <c r="D78" s="971" t="s">
        <v>1277</v>
      </c>
      <c r="E78" s="48" t="s">
        <v>1278</v>
      </c>
      <c r="F78" s="989">
        <v>46170</v>
      </c>
      <c r="G78" s="989">
        <v>46259</v>
      </c>
      <c r="H78" s="989">
        <v>46259</v>
      </c>
      <c r="I78" s="989">
        <v>46196</v>
      </c>
      <c r="J78" s="971">
        <v>1800</v>
      </c>
      <c r="K78" s="971">
        <v>1</v>
      </c>
      <c r="L78" s="971" t="s">
        <v>767</v>
      </c>
      <c r="M78" s="971" t="s">
        <v>196</v>
      </c>
      <c r="N78" s="971" t="s">
        <v>1206</v>
      </c>
      <c r="O78" s="971" t="s">
        <v>1206</v>
      </c>
      <c r="P78" s="971" t="s">
        <v>1249</v>
      </c>
      <c r="Q78" s="971" t="s">
        <v>987</v>
      </c>
      <c r="R78" s="971" t="s">
        <v>1227</v>
      </c>
      <c r="S78" s="971" t="s">
        <v>767</v>
      </c>
      <c r="T78" s="35" t="s">
        <v>1088</v>
      </c>
      <c r="U78" s="990">
        <v>46259</v>
      </c>
      <c r="V78" s="1016">
        <v>46260</v>
      </c>
      <c r="W78" s="971"/>
      <c r="X78" s="990"/>
      <c r="Y78" s="971">
        <v>1003449484</v>
      </c>
      <c r="Z78" s="255" t="s">
        <v>1210</v>
      </c>
    </row>
    <row r="79" s="255" customFormat="1" ht="28.5" customHeight="1" spans="1:27">
      <c r="A79" s="971">
        <f t="shared" si="5"/>
        <v>76</v>
      </c>
      <c r="B79" s="971" t="s">
        <v>209</v>
      </c>
      <c r="C79" s="971" t="s">
        <v>909</v>
      </c>
      <c r="D79" s="971" t="s">
        <v>1279</v>
      </c>
      <c r="E79" s="48" t="s">
        <v>1280</v>
      </c>
      <c r="F79" s="989">
        <v>46170</v>
      </c>
      <c r="G79" s="989">
        <v>46259</v>
      </c>
      <c r="H79" s="989">
        <v>46259</v>
      </c>
      <c r="I79" s="989">
        <v>46196</v>
      </c>
      <c r="J79" s="971">
        <v>1800</v>
      </c>
      <c r="K79" s="971">
        <v>1</v>
      </c>
      <c r="L79" s="971" t="s">
        <v>767</v>
      </c>
      <c r="M79" s="971" t="s">
        <v>196</v>
      </c>
      <c r="N79" s="971" t="s">
        <v>1206</v>
      </c>
      <c r="O79" s="971" t="s">
        <v>1206</v>
      </c>
      <c r="P79" s="971" t="s">
        <v>1249</v>
      </c>
      <c r="Q79" s="971" t="s">
        <v>987</v>
      </c>
      <c r="R79" s="971" t="s">
        <v>1227</v>
      </c>
      <c r="S79" s="971" t="s">
        <v>767</v>
      </c>
      <c r="T79" s="45" t="s">
        <v>1250</v>
      </c>
      <c r="U79" s="990">
        <v>46259</v>
      </c>
      <c r="V79" s="1016">
        <v>46260</v>
      </c>
      <c r="W79" s="971"/>
      <c r="X79" s="990"/>
      <c r="Y79" s="971">
        <v>1003449485</v>
      </c>
      <c r="Z79" s="998" t="s">
        <v>1100</v>
      </c>
    </row>
    <row r="80" s="255" customFormat="1" ht="28.5" hidden="1" customHeight="1" spans="1:27">
      <c r="A80" s="971">
        <f t="shared" ref="A80:A87" si="6">ROW()-3</f>
        <v>77</v>
      </c>
      <c r="B80" s="971" t="s">
        <v>209</v>
      </c>
      <c r="C80" s="971" t="s">
        <v>909</v>
      </c>
      <c r="D80" s="48" t="s">
        <v>1281</v>
      </c>
      <c r="E80" s="48" t="s">
        <v>1282</v>
      </c>
      <c r="F80" s="989">
        <v>46154</v>
      </c>
      <c r="G80" s="989">
        <v>46261</v>
      </c>
      <c r="H80" s="989">
        <v>46261</v>
      </c>
      <c r="I80" s="989">
        <v>46177</v>
      </c>
      <c r="J80" s="971">
        <v>1800</v>
      </c>
      <c r="K80" s="971">
        <v>1</v>
      </c>
      <c r="L80" s="971" t="s">
        <v>767</v>
      </c>
      <c r="M80" s="971" t="s">
        <v>196</v>
      </c>
      <c r="N80" s="971" t="s">
        <v>1206</v>
      </c>
      <c r="O80" s="971" t="s">
        <v>1206</v>
      </c>
      <c r="P80" s="971" t="s">
        <v>556</v>
      </c>
      <c r="Q80" s="971" t="s">
        <v>556</v>
      </c>
      <c r="R80" s="971" t="s">
        <v>1227</v>
      </c>
      <c r="S80" s="971" t="s">
        <v>767</v>
      </c>
      <c r="T80" s="35" t="s">
        <v>1088</v>
      </c>
      <c r="U80" s="990">
        <v>46261</v>
      </c>
      <c r="V80" s="44">
        <v>46262</v>
      </c>
      <c r="W80" s="971"/>
      <c r="X80" s="990">
        <v>46267</v>
      </c>
      <c r="Y80" s="1288" t="s">
        <v>1283</v>
      </c>
      <c r="Z80" s="255" t="s">
        <v>1210</v>
      </c>
    </row>
    <row r="81" s="255" customFormat="1" ht="28.5" customHeight="1" spans="1:27">
      <c r="A81" s="971">
        <f t="shared" si="6"/>
        <v>78</v>
      </c>
      <c r="B81" s="971" t="s">
        <v>209</v>
      </c>
      <c r="C81" s="971" t="s">
        <v>909</v>
      </c>
      <c r="D81" s="48" t="s">
        <v>969</v>
      </c>
      <c r="E81" s="48" t="s">
        <v>970</v>
      </c>
      <c r="F81" s="989">
        <v>46154</v>
      </c>
      <c r="G81" s="989">
        <v>46261</v>
      </c>
      <c r="H81" s="989">
        <v>46261</v>
      </c>
      <c r="I81" s="989">
        <v>46177</v>
      </c>
      <c r="J81" s="971">
        <v>1800</v>
      </c>
      <c r="K81" s="971">
        <v>1</v>
      </c>
      <c r="L81" s="971" t="s">
        <v>767</v>
      </c>
      <c r="M81" s="971" t="s">
        <v>196</v>
      </c>
      <c r="N81" s="971" t="s">
        <v>1206</v>
      </c>
      <c r="O81" s="971" t="s">
        <v>1206</v>
      </c>
      <c r="P81" s="971" t="s">
        <v>556</v>
      </c>
      <c r="Q81" s="971" t="s">
        <v>556</v>
      </c>
      <c r="R81" s="971" t="s">
        <v>1227</v>
      </c>
      <c r="S81" s="971" t="s">
        <v>767</v>
      </c>
      <c r="T81" s="35" t="s">
        <v>1088</v>
      </c>
      <c r="U81" s="990">
        <v>46261</v>
      </c>
      <c r="V81" s="44">
        <v>46266</v>
      </c>
      <c r="W81" s="971"/>
      <c r="X81" s="990"/>
      <c r="Y81" s="1288" t="s">
        <v>971</v>
      </c>
      <c r="Z81" s="255" t="s">
        <v>1210</v>
      </c>
    </row>
    <row r="82" s="255" customFormat="1" ht="28.5" hidden="1" customHeight="1" spans="1:27">
      <c r="A82" s="971">
        <f t="shared" si="6"/>
        <v>79</v>
      </c>
      <c r="B82" s="971" t="s">
        <v>209</v>
      </c>
      <c r="C82" s="971" t="s">
        <v>909</v>
      </c>
      <c r="D82" s="971" t="s">
        <v>972</v>
      </c>
      <c r="E82" s="48" t="s">
        <v>973</v>
      </c>
      <c r="F82" s="989">
        <v>46154</v>
      </c>
      <c r="G82" s="989">
        <v>46261</v>
      </c>
      <c r="H82" s="989">
        <v>46261</v>
      </c>
      <c r="I82" s="989">
        <v>46177</v>
      </c>
      <c r="J82" s="971">
        <v>1800</v>
      </c>
      <c r="K82" s="971">
        <v>1</v>
      </c>
      <c r="L82" s="971" t="s">
        <v>767</v>
      </c>
      <c r="M82" s="971" t="s">
        <v>196</v>
      </c>
      <c r="N82" s="971" t="s">
        <v>1206</v>
      </c>
      <c r="O82" s="971" t="s">
        <v>1206</v>
      </c>
      <c r="P82" s="971" t="s">
        <v>556</v>
      </c>
      <c r="Q82" s="971" t="s">
        <v>556</v>
      </c>
      <c r="R82" s="971" t="s">
        <v>1227</v>
      </c>
      <c r="S82" s="971" t="s">
        <v>767</v>
      </c>
      <c r="T82" s="35" t="s">
        <v>1088</v>
      </c>
      <c r="U82" s="990">
        <v>46261</v>
      </c>
      <c r="V82" s="44">
        <v>46266</v>
      </c>
      <c r="W82" s="971"/>
      <c r="X82" s="990">
        <v>46277</v>
      </c>
      <c r="Y82" s="1288" t="s">
        <v>974</v>
      </c>
      <c r="Z82" s="255" t="s">
        <v>1210</v>
      </c>
    </row>
    <row r="83" s="255" customFormat="1" ht="28.5" hidden="1" customHeight="1" spans="1:27">
      <c r="A83" s="971">
        <f t="shared" si="6"/>
        <v>80</v>
      </c>
      <c r="B83" s="971" t="s">
        <v>209</v>
      </c>
      <c r="C83" s="971" t="s">
        <v>909</v>
      </c>
      <c r="D83" s="971" t="s">
        <v>975</v>
      </c>
      <c r="E83" s="48" t="s">
        <v>976</v>
      </c>
      <c r="F83" s="989">
        <v>46154</v>
      </c>
      <c r="G83" s="989">
        <v>46261</v>
      </c>
      <c r="H83" s="989">
        <v>46261</v>
      </c>
      <c r="I83" s="989">
        <v>46177</v>
      </c>
      <c r="J83" s="971">
        <v>1980</v>
      </c>
      <c r="K83" s="971">
        <v>1</v>
      </c>
      <c r="L83" s="971" t="s">
        <v>767</v>
      </c>
      <c r="M83" s="971" t="s">
        <v>196</v>
      </c>
      <c r="N83" s="971" t="s">
        <v>1206</v>
      </c>
      <c r="O83" s="971" t="s">
        <v>1206</v>
      </c>
      <c r="P83" s="971" t="s">
        <v>556</v>
      </c>
      <c r="Q83" s="971" t="s">
        <v>556</v>
      </c>
      <c r="R83" s="971" t="s">
        <v>1227</v>
      </c>
      <c r="S83" s="971" t="s">
        <v>767</v>
      </c>
      <c r="T83" s="35" t="s">
        <v>1088</v>
      </c>
      <c r="U83" s="990">
        <v>46261</v>
      </c>
      <c r="V83" s="44">
        <v>46266</v>
      </c>
      <c r="W83" s="971"/>
      <c r="X83" s="990">
        <v>46277</v>
      </c>
      <c r="Y83" s="1288" t="s">
        <v>977</v>
      </c>
      <c r="Z83" s="255" t="s">
        <v>1210</v>
      </c>
    </row>
    <row r="84" s="255" customFormat="1" ht="28.5" customHeight="1" spans="1:27">
      <c r="A84" s="971">
        <f t="shared" si="6"/>
        <v>81</v>
      </c>
      <c r="B84" s="971" t="s">
        <v>209</v>
      </c>
      <c r="C84" s="971" t="s">
        <v>909</v>
      </c>
      <c r="D84" s="971" t="s">
        <v>978</v>
      </c>
      <c r="E84" s="48" t="s">
        <v>979</v>
      </c>
      <c r="F84" s="989">
        <v>46154</v>
      </c>
      <c r="G84" s="989">
        <v>46261</v>
      </c>
      <c r="H84" s="989">
        <v>46261</v>
      </c>
      <c r="I84" s="989">
        <v>46177</v>
      </c>
      <c r="J84" s="971">
        <v>3780</v>
      </c>
      <c r="K84" s="971">
        <v>1</v>
      </c>
      <c r="L84" s="971" t="s">
        <v>767</v>
      </c>
      <c r="M84" s="971" t="s">
        <v>196</v>
      </c>
      <c r="N84" s="971" t="s">
        <v>1206</v>
      </c>
      <c r="O84" s="971" t="s">
        <v>1206</v>
      </c>
      <c r="P84" s="971" t="s">
        <v>556</v>
      </c>
      <c r="Q84" s="971" t="s">
        <v>556</v>
      </c>
      <c r="R84" s="971" t="s">
        <v>1227</v>
      </c>
      <c r="S84" s="971" t="s">
        <v>767</v>
      </c>
      <c r="T84" s="35" t="s">
        <v>1088</v>
      </c>
      <c r="U84" s="990">
        <v>46261</v>
      </c>
      <c r="V84" s="44">
        <v>46266</v>
      </c>
      <c r="W84" s="971"/>
      <c r="X84" s="990"/>
      <c r="Y84" s="1288" t="s">
        <v>980</v>
      </c>
      <c r="Z84" s="255" t="s">
        <v>1210</v>
      </c>
    </row>
    <row r="85" s="255" customFormat="1" ht="28.5" customHeight="1" spans="1:27">
      <c r="A85" s="971">
        <f t="shared" si="6"/>
        <v>82</v>
      </c>
      <c r="B85" s="971" t="s">
        <v>209</v>
      </c>
      <c r="C85" s="971" t="s">
        <v>909</v>
      </c>
      <c r="D85" s="971" t="s">
        <v>981</v>
      </c>
      <c r="E85" s="48" t="s">
        <v>982</v>
      </c>
      <c r="F85" s="989">
        <v>46154</v>
      </c>
      <c r="G85" s="989">
        <v>46261</v>
      </c>
      <c r="H85" s="989">
        <v>46261</v>
      </c>
      <c r="I85" s="989">
        <v>46177</v>
      </c>
      <c r="J85" s="971">
        <v>1800</v>
      </c>
      <c r="K85" s="971">
        <v>1</v>
      </c>
      <c r="L85" s="971" t="s">
        <v>767</v>
      </c>
      <c r="M85" s="971" t="s">
        <v>196</v>
      </c>
      <c r="N85" s="971" t="s">
        <v>1206</v>
      </c>
      <c r="O85" s="971" t="s">
        <v>1206</v>
      </c>
      <c r="P85" s="971" t="s">
        <v>556</v>
      </c>
      <c r="Q85" s="971" t="s">
        <v>556</v>
      </c>
      <c r="R85" s="971" t="s">
        <v>1227</v>
      </c>
      <c r="S85" s="971" t="s">
        <v>767</v>
      </c>
      <c r="T85" s="35" t="s">
        <v>1088</v>
      </c>
      <c r="U85" s="990">
        <v>46261</v>
      </c>
      <c r="V85" s="44">
        <v>46266</v>
      </c>
      <c r="W85" s="971"/>
      <c r="X85" s="990"/>
      <c r="Y85" s="1288" t="s">
        <v>983</v>
      </c>
      <c r="Z85" s="255" t="s">
        <v>1210</v>
      </c>
    </row>
    <row r="86" s="255" customFormat="1" ht="28.5" customHeight="1" spans="1:27">
      <c r="A86" s="971">
        <f t="shared" si="6"/>
        <v>83</v>
      </c>
      <c r="B86" s="971" t="s">
        <v>209</v>
      </c>
      <c r="C86" s="971" t="s">
        <v>909</v>
      </c>
      <c r="D86" s="971" t="s">
        <v>1284</v>
      </c>
      <c r="E86" s="48" t="s">
        <v>1285</v>
      </c>
      <c r="F86" s="989">
        <v>46183</v>
      </c>
      <c r="G86" s="989">
        <v>46261</v>
      </c>
      <c r="H86" s="989">
        <v>46261</v>
      </c>
      <c r="I86" s="989">
        <v>46205</v>
      </c>
      <c r="J86" s="970">
        <v>2160</v>
      </c>
      <c r="K86" s="971">
        <v>1</v>
      </c>
      <c r="L86" s="971" t="s">
        <v>767</v>
      </c>
      <c r="M86" s="971" t="s">
        <v>196</v>
      </c>
      <c r="N86" s="971" t="s">
        <v>1206</v>
      </c>
      <c r="O86" s="971" t="s">
        <v>1206</v>
      </c>
      <c r="P86" s="971" t="s">
        <v>1207</v>
      </c>
      <c r="Q86" s="971" t="s">
        <v>1207</v>
      </c>
      <c r="R86" s="971" t="s">
        <v>1208</v>
      </c>
      <c r="S86" s="971" t="s">
        <v>767</v>
      </c>
      <c r="T86" s="35" t="s">
        <v>1088</v>
      </c>
      <c r="U86" s="990">
        <v>46261</v>
      </c>
      <c r="V86" s="39">
        <v>46273</v>
      </c>
      <c r="W86" s="35"/>
      <c r="X86" s="990"/>
      <c r="Y86" s="1288" t="s">
        <v>1286</v>
      </c>
      <c r="Z86" s="255" t="s">
        <v>1210</v>
      </c>
      <c r="AA86" s="255" t="s">
        <v>1211</v>
      </c>
    </row>
    <row r="87" s="255" customFormat="1" ht="28.5" customHeight="1" spans="1:27">
      <c r="A87" s="971">
        <f t="shared" si="6"/>
        <v>84</v>
      </c>
      <c r="B87" s="971" t="s">
        <v>209</v>
      </c>
      <c r="C87" s="971" t="s">
        <v>909</v>
      </c>
      <c r="D87" s="971" t="s">
        <v>1287</v>
      </c>
      <c r="E87" s="48" t="s">
        <v>1288</v>
      </c>
      <c r="F87" s="989">
        <v>46183</v>
      </c>
      <c r="G87" s="989">
        <v>46261</v>
      </c>
      <c r="H87" s="989">
        <v>46261</v>
      </c>
      <c r="I87" s="989">
        <v>46205</v>
      </c>
      <c r="J87" s="970">
        <v>2340</v>
      </c>
      <c r="K87" s="971">
        <v>1</v>
      </c>
      <c r="L87" s="971" t="s">
        <v>767</v>
      </c>
      <c r="M87" s="971" t="s">
        <v>196</v>
      </c>
      <c r="N87" s="971" t="s">
        <v>1206</v>
      </c>
      <c r="O87" s="971" t="s">
        <v>1206</v>
      </c>
      <c r="P87" s="971" t="s">
        <v>1207</v>
      </c>
      <c r="Q87" s="971" t="s">
        <v>1207</v>
      </c>
      <c r="R87" s="971" t="s">
        <v>1208</v>
      </c>
      <c r="S87" s="971" t="s">
        <v>767</v>
      </c>
      <c r="T87" s="35" t="s">
        <v>1088</v>
      </c>
      <c r="U87" s="990">
        <v>46261</v>
      </c>
      <c r="V87" s="39">
        <v>46273</v>
      </c>
      <c r="W87" s="35"/>
      <c r="X87" s="990"/>
      <c r="Y87" s="1288" t="s">
        <v>1289</v>
      </c>
      <c r="Z87" s="255" t="s">
        <v>1210</v>
      </c>
      <c r="AA87" s="255" t="s">
        <v>1211</v>
      </c>
    </row>
    <row r="88" s="255" customFormat="1" ht="28.5" customHeight="1" spans="1:27">
      <c r="A88" s="971">
        <f t="shared" ref="A88:A94" si="7">ROW()-3</f>
        <v>85</v>
      </c>
      <c r="B88" s="971" t="s">
        <v>209</v>
      </c>
      <c r="C88" s="971" t="s">
        <v>909</v>
      </c>
      <c r="D88" s="971" t="s">
        <v>1290</v>
      </c>
      <c r="E88" s="48" t="s">
        <v>1291</v>
      </c>
      <c r="F88" s="989">
        <v>46183</v>
      </c>
      <c r="G88" s="989">
        <v>46261</v>
      </c>
      <c r="H88" s="989">
        <v>46261</v>
      </c>
      <c r="I88" s="989">
        <v>46205</v>
      </c>
      <c r="J88" s="970">
        <v>1800</v>
      </c>
      <c r="K88" s="971">
        <v>1</v>
      </c>
      <c r="L88" s="971" t="s">
        <v>767</v>
      </c>
      <c r="M88" s="971" t="s">
        <v>196</v>
      </c>
      <c r="N88" s="971" t="s">
        <v>1206</v>
      </c>
      <c r="O88" s="971" t="s">
        <v>1206</v>
      </c>
      <c r="P88" s="971" t="s">
        <v>1207</v>
      </c>
      <c r="Q88" s="971" t="s">
        <v>1207</v>
      </c>
      <c r="R88" s="971" t="s">
        <v>1208</v>
      </c>
      <c r="S88" s="971" t="s">
        <v>767</v>
      </c>
      <c r="T88" s="35" t="s">
        <v>1088</v>
      </c>
      <c r="U88" s="990">
        <v>46261</v>
      </c>
      <c r="V88" s="39">
        <v>46273</v>
      </c>
      <c r="W88" s="35"/>
      <c r="X88" s="990"/>
      <c r="Y88" s="1288" t="s">
        <v>1292</v>
      </c>
      <c r="Z88" s="255" t="s">
        <v>1210</v>
      </c>
      <c r="AA88" s="255" t="s">
        <v>1211</v>
      </c>
    </row>
    <row r="89" s="255" customFormat="1" ht="28.5" customHeight="1" spans="1:27">
      <c r="A89" s="971">
        <f t="shared" si="7"/>
        <v>86</v>
      </c>
      <c r="B89" s="971" t="s">
        <v>209</v>
      </c>
      <c r="C89" s="971" t="s">
        <v>909</v>
      </c>
      <c r="D89" s="971" t="s">
        <v>1293</v>
      </c>
      <c r="E89" s="48" t="s">
        <v>1294</v>
      </c>
      <c r="F89" s="989">
        <v>46183</v>
      </c>
      <c r="G89" s="989">
        <v>46261</v>
      </c>
      <c r="H89" s="989">
        <v>46261</v>
      </c>
      <c r="I89" s="989">
        <v>46205</v>
      </c>
      <c r="J89" s="970">
        <v>4320</v>
      </c>
      <c r="K89" s="971">
        <v>1</v>
      </c>
      <c r="L89" s="37" t="s">
        <v>1295</v>
      </c>
      <c r="M89" s="971" t="s">
        <v>196</v>
      </c>
      <c r="N89" s="971" t="s">
        <v>1206</v>
      </c>
      <c r="O89" s="971" t="s">
        <v>1206</v>
      </c>
      <c r="P89" s="971" t="s">
        <v>1207</v>
      </c>
      <c r="Q89" s="971" t="s">
        <v>1207</v>
      </c>
      <c r="R89" s="971" t="s">
        <v>1208</v>
      </c>
      <c r="S89" s="970" t="s">
        <v>1296</v>
      </c>
      <c r="T89" s="35" t="s">
        <v>1088</v>
      </c>
      <c r="U89" s="990">
        <v>46261</v>
      </c>
      <c r="V89" s="39">
        <v>46273</v>
      </c>
      <c r="W89" s="35"/>
      <c r="X89" s="990"/>
      <c r="Y89" s="1288" t="s">
        <v>1297</v>
      </c>
      <c r="Z89" s="255" t="s">
        <v>1210</v>
      </c>
      <c r="AA89" s="255" t="s">
        <v>1211</v>
      </c>
    </row>
    <row r="90" s="255" customFormat="1" ht="28.5" customHeight="1" spans="1:27">
      <c r="A90" s="971">
        <f t="shared" si="7"/>
        <v>87</v>
      </c>
      <c r="B90" s="971" t="s">
        <v>209</v>
      </c>
      <c r="C90" s="971" t="s">
        <v>909</v>
      </c>
      <c r="D90" s="971" t="s">
        <v>1298</v>
      </c>
      <c r="E90" s="48" t="s">
        <v>1299</v>
      </c>
      <c r="F90" s="989">
        <v>46183</v>
      </c>
      <c r="G90" s="989">
        <v>46261</v>
      </c>
      <c r="H90" s="989">
        <v>46261</v>
      </c>
      <c r="I90" s="989">
        <v>46205</v>
      </c>
      <c r="J90" s="970">
        <v>2340</v>
      </c>
      <c r="K90" s="971">
        <v>1</v>
      </c>
      <c r="L90" s="970" t="s">
        <v>767</v>
      </c>
      <c r="M90" s="971" t="s">
        <v>196</v>
      </c>
      <c r="N90" s="971" t="s">
        <v>1206</v>
      </c>
      <c r="O90" s="971" t="s">
        <v>1206</v>
      </c>
      <c r="P90" s="971" t="s">
        <v>1207</v>
      </c>
      <c r="Q90" s="971" t="s">
        <v>1207</v>
      </c>
      <c r="R90" s="971" t="s">
        <v>1208</v>
      </c>
      <c r="S90" s="970" t="s">
        <v>767</v>
      </c>
      <c r="T90" s="35" t="s">
        <v>1088</v>
      </c>
      <c r="U90" s="990">
        <v>46261</v>
      </c>
      <c r="V90" s="39">
        <v>46273</v>
      </c>
      <c r="W90" s="35"/>
      <c r="X90" s="990"/>
      <c r="Y90" s="1288" t="s">
        <v>1300</v>
      </c>
      <c r="Z90" s="255" t="s">
        <v>1210</v>
      </c>
      <c r="AA90" s="255" t="s">
        <v>1211</v>
      </c>
    </row>
    <row r="91" s="255" customFormat="1" ht="28.5" customHeight="1" spans="1:27">
      <c r="A91" s="971">
        <f t="shared" si="7"/>
        <v>88</v>
      </c>
      <c r="B91" s="971" t="s">
        <v>209</v>
      </c>
      <c r="C91" s="971" t="s">
        <v>909</v>
      </c>
      <c r="D91" s="971" t="s">
        <v>1301</v>
      </c>
      <c r="E91" s="48" t="s">
        <v>1302</v>
      </c>
      <c r="F91" s="989">
        <v>46183</v>
      </c>
      <c r="G91" s="989">
        <v>46261</v>
      </c>
      <c r="H91" s="989">
        <v>46261</v>
      </c>
      <c r="I91" s="989">
        <v>46205</v>
      </c>
      <c r="J91" s="970">
        <v>1800</v>
      </c>
      <c r="K91" s="971">
        <v>1</v>
      </c>
      <c r="L91" s="970" t="s">
        <v>767</v>
      </c>
      <c r="M91" s="971" t="s">
        <v>196</v>
      </c>
      <c r="N91" s="971" t="s">
        <v>1206</v>
      </c>
      <c r="O91" s="971" t="s">
        <v>1206</v>
      </c>
      <c r="P91" s="971" t="s">
        <v>1207</v>
      </c>
      <c r="Q91" s="971" t="s">
        <v>1207</v>
      </c>
      <c r="R91" s="971" t="s">
        <v>1208</v>
      </c>
      <c r="S91" s="970" t="s">
        <v>767</v>
      </c>
      <c r="T91" s="35" t="s">
        <v>1088</v>
      </c>
      <c r="U91" s="990">
        <v>46261</v>
      </c>
      <c r="V91" s="39">
        <v>46273</v>
      </c>
      <c r="W91" s="35"/>
      <c r="X91" s="990"/>
      <c r="Y91" s="1288" t="s">
        <v>1303</v>
      </c>
      <c r="Z91" s="255" t="s">
        <v>1210</v>
      </c>
      <c r="AA91" s="255" t="s">
        <v>1211</v>
      </c>
    </row>
    <row r="92" s="255" customFormat="1" ht="28.5" customHeight="1" spans="1:27">
      <c r="A92" s="971">
        <f t="shared" si="7"/>
        <v>89</v>
      </c>
      <c r="B92" s="971" t="s">
        <v>209</v>
      </c>
      <c r="C92" s="971" t="s">
        <v>909</v>
      </c>
      <c r="D92" s="971" t="s">
        <v>984</v>
      </c>
      <c r="E92" s="48" t="s">
        <v>985</v>
      </c>
      <c r="F92" s="989">
        <v>46170</v>
      </c>
      <c r="G92" s="989">
        <v>46266</v>
      </c>
      <c r="H92" s="989">
        <v>46266</v>
      </c>
      <c r="I92" s="989">
        <v>46196</v>
      </c>
      <c r="J92" s="971">
        <v>2340</v>
      </c>
      <c r="K92" s="971">
        <v>1</v>
      </c>
      <c r="L92" s="970" t="s">
        <v>1296</v>
      </c>
      <c r="M92" s="971" t="s">
        <v>196</v>
      </c>
      <c r="N92" s="971" t="s">
        <v>616</v>
      </c>
      <c r="O92" s="971" t="s">
        <v>616</v>
      </c>
      <c r="P92" s="971" t="s">
        <v>1249</v>
      </c>
      <c r="Q92" s="971" t="s">
        <v>987</v>
      </c>
      <c r="R92" s="971" t="s">
        <v>616</v>
      </c>
      <c r="S92" s="970" t="s">
        <v>1296</v>
      </c>
      <c r="T92" s="35" t="s">
        <v>1088</v>
      </c>
      <c r="U92" s="990">
        <v>46266</v>
      </c>
      <c r="V92" s="1016">
        <v>46275</v>
      </c>
      <c r="W92" s="971"/>
      <c r="X92" s="990"/>
      <c r="Y92" s="971">
        <v>1003448839</v>
      </c>
      <c r="Z92" s="255" t="s">
        <v>1210</v>
      </c>
    </row>
    <row r="93" s="255" customFormat="1" ht="28.5" customHeight="1" spans="1:27">
      <c r="A93" s="971">
        <f t="shared" si="7"/>
        <v>90</v>
      </c>
      <c r="B93" s="971" t="s">
        <v>209</v>
      </c>
      <c r="C93" s="971" t="s">
        <v>909</v>
      </c>
      <c r="D93" s="971" t="s">
        <v>1304</v>
      </c>
      <c r="E93" s="48" t="s">
        <v>1305</v>
      </c>
      <c r="F93" s="989">
        <v>46170</v>
      </c>
      <c r="G93" s="989">
        <v>46266</v>
      </c>
      <c r="H93" s="989">
        <v>46266</v>
      </c>
      <c r="I93" s="989">
        <v>46196</v>
      </c>
      <c r="J93" s="971">
        <v>1800</v>
      </c>
      <c r="K93" s="971">
        <v>1</v>
      </c>
      <c r="L93" s="970" t="s">
        <v>1296</v>
      </c>
      <c r="M93" s="971" t="s">
        <v>196</v>
      </c>
      <c r="N93" s="971" t="s">
        <v>616</v>
      </c>
      <c r="O93" s="971" t="s">
        <v>616</v>
      </c>
      <c r="P93" s="971" t="s">
        <v>1249</v>
      </c>
      <c r="Q93" s="971" t="s">
        <v>987</v>
      </c>
      <c r="R93" s="971" t="s">
        <v>616</v>
      </c>
      <c r="S93" s="970" t="s">
        <v>1296</v>
      </c>
      <c r="T93" s="35" t="s">
        <v>1088</v>
      </c>
      <c r="U93" s="990">
        <v>46266</v>
      </c>
      <c r="V93" s="1016">
        <v>46275</v>
      </c>
      <c r="W93" s="971"/>
      <c r="X93" s="990"/>
      <c r="Y93" s="971">
        <v>1003449136</v>
      </c>
      <c r="Z93" s="255" t="s">
        <v>1210</v>
      </c>
    </row>
    <row r="94" s="255" customFormat="1" ht="24" customHeight="1" spans="1:27">
      <c r="A94" s="971">
        <f t="shared" si="7"/>
        <v>91</v>
      </c>
      <c r="B94" s="971" t="s">
        <v>209</v>
      </c>
      <c r="C94" s="971" t="s">
        <v>909</v>
      </c>
      <c r="D94" s="971" t="s">
        <v>1306</v>
      </c>
      <c r="E94" s="48" t="s">
        <v>1307</v>
      </c>
      <c r="F94" s="989">
        <v>46170</v>
      </c>
      <c r="G94" s="989">
        <v>46266</v>
      </c>
      <c r="H94" s="989">
        <v>46266</v>
      </c>
      <c r="I94" s="989">
        <v>46196</v>
      </c>
      <c r="J94" s="971">
        <v>1800</v>
      </c>
      <c r="K94" s="971">
        <v>1</v>
      </c>
      <c r="L94" s="970" t="s">
        <v>1296</v>
      </c>
      <c r="M94" s="971" t="s">
        <v>196</v>
      </c>
      <c r="N94" s="971" t="s">
        <v>616</v>
      </c>
      <c r="O94" s="971" t="s">
        <v>616</v>
      </c>
      <c r="P94" s="971" t="s">
        <v>1249</v>
      </c>
      <c r="Q94" s="971" t="s">
        <v>987</v>
      </c>
      <c r="R94" s="971" t="s">
        <v>616</v>
      </c>
      <c r="S94" s="970" t="s">
        <v>1296</v>
      </c>
      <c r="T94" s="35" t="s">
        <v>1088</v>
      </c>
      <c r="U94" s="990">
        <v>46266</v>
      </c>
      <c r="V94" s="1016">
        <v>46275</v>
      </c>
      <c r="W94" s="971"/>
      <c r="X94" s="990"/>
      <c r="Y94" s="971">
        <v>1003449196</v>
      </c>
      <c r="Z94" s="255" t="s">
        <v>1210</v>
      </c>
    </row>
    <row r="95" s="255" customFormat="1" ht="24" customHeight="1" spans="1:27">
      <c r="A95" s="971">
        <f t="shared" ref="A95:A103" si="8">ROW()-3</f>
        <v>92</v>
      </c>
      <c r="B95" s="971" t="s">
        <v>209</v>
      </c>
      <c r="C95" s="971" t="s">
        <v>909</v>
      </c>
      <c r="D95" s="971" t="s">
        <v>1308</v>
      </c>
      <c r="E95" s="48" t="s">
        <v>1309</v>
      </c>
      <c r="F95" s="989">
        <v>46170</v>
      </c>
      <c r="G95" s="989">
        <v>46266</v>
      </c>
      <c r="H95" s="989">
        <v>46266</v>
      </c>
      <c r="I95" s="989">
        <v>46196</v>
      </c>
      <c r="J95" s="971">
        <v>1800</v>
      </c>
      <c r="K95" s="971">
        <v>1</v>
      </c>
      <c r="L95" s="970" t="s">
        <v>1296</v>
      </c>
      <c r="M95" s="971" t="s">
        <v>196</v>
      </c>
      <c r="N95" s="971" t="s">
        <v>616</v>
      </c>
      <c r="O95" s="971" t="s">
        <v>616</v>
      </c>
      <c r="P95" s="971" t="s">
        <v>1249</v>
      </c>
      <c r="Q95" s="971" t="s">
        <v>987</v>
      </c>
      <c r="R95" s="971" t="s">
        <v>616</v>
      </c>
      <c r="S95" s="970" t="s">
        <v>1296</v>
      </c>
      <c r="T95" s="35" t="s">
        <v>1088</v>
      </c>
      <c r="U95" s="990">
        <v>46266</v>
      </c>
      <c r="V95" s="1016">
        <v>46275</v>
      </c>
      <c r="W95" s="971"/>
      <c r="X95" s="990"/>
      <c r="Y95" s="971">
        <v>1003449273</v>
      </c>
      <c r="Z95" s="255" t="s">
        <v>1210</v>
      </c>
    </row>
    <row r="96" s="255" customFormat="1" ht="30" customHeight="1" spans="1:27">
      <c r="A96" s="971">
        <f t="shared" si="8"/>
        <v>93</v>
      </c>
      <c r="B96" s="971" t="s">
        <v>209</v>
      </c>
      <c r="C96" s="971" t="s">
        <v>909</v>
      </c>
      <c r="D96" s="971" t="s">
        <v>1310</v>
      </c>
      <c r="E96" s="48" t="s">
        <v>1311</v>
      </c>
      <c r="F96" s="989">
        <v>46170</v>
      </c>
      <c r="G96" s="989">
        <v>46266</v>
      </c>
      <c r="H96" s="989">
        <v>46266</v>
      </c>
      <c r="I96" s="989">
        <v>46196</v>
      </c>
      <c r="J96" s="971">
        <v>1800</v>
      </c>
      <c r="K96" s="971">
        <v>1</v>
      </c>
      <c r="L96" s="37" t="s">
        <v>1295</v>
      </c>
      <c r="M96" s="971" t="s">
        <v>196</v>
      </c>
      <c r="N96" s="971" t="s">
        <v>616</v>
      </c>
      <c r="O96" s="971" t="s">
        <v>616</v>
      </c>
      <c r="P96" s="971" t="s">
        <v>1249</v>
      </c>
      <c r="Q96" s="971" t="s">
        <v>987</v>
      </c>
      <c r="R96" s="971" t="s">
        <v>616</v>
      </c>
      <c r="S96" s="970" t="s">
        <v>1296</v>
      </c>
      <c r="T96" s="35" t="s">
        <v>1088</v>
      </c>
      <c r="U96" s="990">
        <v>46266</v>
      </c>
      <c r="V96" s="1016">
        <v>46275</v>
      </c>
      <c r="W96" s="971"/>
      <c r="X96" s="990"/>
      <c r="Y96" s="971">
        <v>1003449352</v>
      </c>
      <c r="Z96" s="255" t="s">
        <v>1210</v>
      </c>
    </row>
    <row r="97" s="255" customFormat="1" ht="24" customHeight="1" spans="1:27">
      <c r="A97" s="971">
        <f t="shared" si="8"/>
        <v>94</v>
      </c>
      <c r="B97" s="971" t="s">
        <v>209</v>
      </c>
      <c r="C97" s="971" t="s">
        <v>909</v>
      </c>
      <c r="D97" s="971" t="s">
        <v>1312</v>
      </c>
      <c r="E97" s="48" t="s">
        <v>1313</v>
      </c>
      <c r="F97" s="989">
        <v>46170</v>
      </c>
      <c r="G97" s="989">
        <v>46266</v>
      </c>
      <c r="H97" s="989">
        <v>46266</v>
      </c>
      <c r="I97" s="989">
        <v>46196</v>
      </c>
      <c r="J97" s="971">
        <v>2160</v>
      </c>
      <c r="K97" s="971">
        <v>1</v>
      </c>
      <c r="L97" s="970" t="s">
        <v>1296</v>
      </c>
      <c r="M97" s="971" t="s">
        <v>196</v>
      </c>
      <c r="N97" s="971" t="s">
        <v>616</v>
      </c>
      <c r="O97" s="971" t="s">
        <v>616</v>
      </c>
      <c r="P97" s="971" t="s">
        <v>1249</v>
      </c>
      <c r="Q97" s="971" t="s">
        <v>987</v>
      </c>
      <c r="R97" s="971" t="s">
        <v>616</v>
      </c>
      <c r="S97" s="970" t="s">
        <v>1296</v>
      </c>
      <c r="T97" s="35" t="s">
        <v>1088</v>
      </c>
      <c r="U97" s="990">
        <v>46266</v>
      </c>
      <c r="V97" s="1016">
        <v>46275</v>
      </c>
      <c r="W97" s="971"/>
      <c r="X97" s="990"/>
      <c r="Y97" s="971">
        <v>1003449393</v>
      </c>
      <c r="Z97" s="255" t="s">
        <v>1210</v>
      </c>
    </row>
    <row r="98" s="255" customFormat="1" ht="24" customHeight="1" spans="1:27">
      <c r="A98" s="972">
        <f t="shared" si="8"/>
        <v>95</v>
      </c>
      <c r="B98" s="972" t="s">
        <v>209</v>
      </c>
      <c r="C98" s="972" t="s">
        <v>909</v>
      </c>
      <c r="D98" s="972" t="s">
        <v>988</v>
      </c>
      <c r="E98" s="183" t="s">
        <v>989</v>
      </c>
      <c r="F98" s="973">
        <v>46170</v>
      </c>
      <c r="G98" s="973">
        <v>46273</v>
      </c>
      <c r="H98" s="973">
        <v>46273</v>
      </c>
      <c r="I98" s="973">
        <v>46196</v>
      </c>
      <c r="J98" s="972">
        <v>2340</v>
      </c>
      <c r="K98" s="972">
        <v>1</v>
      </c>
      <c r="L98" s="1021" t="s">
        <v>1296</v>
      </c>
      <c r="M98" s="972" t="s">
        <v>196</v>
      </c>
      <c r="N98" s="972" t="s">
        <v>616</v>
      </c>
      <c r="O98" s="972" t="s">
        <v>616</v>
      </c>
      <c r="P98" s="972" t="s">
        <v>1249</v>
      </c>
      <c r="Q98" s="972" t="s">
        <v>987</v>
      </c>
      <c r="R98" s="972" t="s">
        <v>616</v>
      </c>
      <c r="S98" s="1022" t="s">
        <v>1296</v>
      </c>
      <c r="T98" s="60" t="s">
        <v>1088</v>
      </c>
      <c r="U98" s="1000">
        <v>46273</v>
      </c>
      <c r="V98" s="1023">
        <v>46282</v>
      </c>
      <c r="W98" s="972"/>
      <c r="X98" s="994"/>
      <c r="Y98" s="972">
        <v>1003449501</v>
      </c>
      <c r="Z98" s="255" t="s">
        <v>1210</v>
      </c>
    </row>
    <row r="99" s="255" customFormat="1" ht="24" customHeight="1" spans="1:27">
      <c r="A99" s="972">
        <f t="shared" si="8"/>
        <v>96</v>
      </c>
      <c r="B99" s="972" t="s">
        <v>209</v>
      </c>
      <c r="C99" s="972" t="s">
        <v>909</v>
      </c>
      <c r="D99" s="972" t="s">
        <v>1314</v>
      </c>
      <c r="E99" s="183" t="s">
        <v>1315</v>
      </c>
      <c r="F99" s="973">
        <v>46170</v>
      </c>
      <c r="G99" s="973">
        <v>46273</v>
      </c>
      <c r="H99" s="973">
        <v>46273</v>
      </c>
      <c r="I99" s="973">
        <v>46196</v>
      </c>
      <c r="J99" s="972">
        <v>2160</v>
      </c>
      <c r="K99" s="972">
        <v>1</v>
      </c>
      <c r="L99" s="1021" t="s">
        <v>1296</v>
      </c>
      <c r="M99" s="972" t="s">
        <v>196</v>
      </c>
      <c r="N99" s="972" t="s">
        <v>616</v>
      </c>
      <c r="O99" s="972" t="s">
        <v>616</v>
      </c>
      <c r="P99" s="972" t="s">
        <v>1249</v>
      </c>
      <c r="Q99" s="972" t="s">
        <v>987</v>
      </c>
      <c r="R99" s="972" t="s">
        <v>616</v>
      </c>
      <c r="S99" s="1022" t="s">
        <v>1296</v>
      </c>
      <c r="T99" s="60" t="s">
        <v>1088</v>
      </c>
      <c r="U99" s="1000">
        <v>46273</v>
      </c>
      <c r="V99" s="1023">
        <v>46282</v>
      </c>
      <c r="W99" s="972"/>
      <c r="X99" s="994"/>
      <c r="Y99" s="972">
        <v>1003449508</v>
      </c>
      <c r="Z99" s="255" t="s">
        <v>1210</v>
      </c>
    </row>
    <row r="100" s="255" customFormat="1" ht="24" customHeight="1" spans="1:27">
      <c r="A100" s="972">
        <f t="shared" si="8"/>
        <v>97</v>
      </c>
      <c r="B100" s="972" t="s">
        <v>209</v>
      </c>
      <c r="C100" s="972" t="s">
        <v>909</v>
      </c>
      <c r="D100" s="972" t="s">
        <v>1316</v>
      </c>
      <c r="E100" s="183" t="s">
        <v>1317</v>
      </c>
      <c r="F100" s="973">
        <v>46170</v>
      </c>
      <c r="G100" s="973">
        <v>46273</v>
      </c>
      <c r="H100" s="973">
        <v>46273</v>
      </c>
      <c r="I100" s="973">
        <v>46196</v>
      </c>
      <c r="J100" s="972">
        <v>1800</v>
      </c>
      <c r="K100" s="972">
        <v>1</v>
      </c>
      <c r="L100" s="1021" t="s">
        <v>1296</v>
      </c>
      <c r="M100" s="972" t="s">
        <v>196</v>
      </c>
      <c r="N100" s="972" t="s">
        <v>616</v>
      </c>
      <c r="O100" s="972" t="s">
        <v>616</v>
      </c>
      <c r="P100" s="972" t="s">
        <v>1249</v>
      </c>
      <c r="Q100" s="972" t="s">
        <v>987</v>
      </c>
      <c r="R100" s="972" t="s">
        <v>616</v>
      </c>
      <c r="S100" s="1022" t="s">
        <v>1296</v>
      </c>
      <c r="T100" s="60" t="s">
        <v>1088</v>
      </c>
      <c r="U100" s="1000">
        <v>46273</v>
      </c>
      <c r="V100" s="1023">
        <v>46282</v>
      </c>
      <c r="W100" s="972"/>
      <c r="X100" s="994"/>
      <c r="Y100" s="972">
        <v>1003449527</v>
      </c>
      <c r="Z100" s="255" t="s">
        <v>1210</v>
      </c>
    </row>
    <row r="101" s="255" customFormat="1" ht="24" customHeight="1" spans="1:27">
      <c r="A101" s="972">
        <f t="shared" si="8"/>
        <v>98</v>
      </c>
      <c r="B101" s="972" t="s">
        <v>209</v>
      </c>
      <c r="C101" s="972" t="s">
        <v>909</v>
      </c>
      <c r="D101" s="972" t="s">
        <v>1318</v>
      </c>
      <c r="E101" s="183" t="s">
        <v>1319</v>
      </c>
      <c r="F101" s="973">
        <v>46170</v>
      </c>
      <c r="G101" s="973">
        <v>46273</v>
      </c>
      <c r="H101" s="973">
        <v>46273</v>
      </c>
      <c r="I101" s="973">
        <v>46196</v>
      </c>
      <c r="J101" s="972">
        <v>1800</v>
      </c>
      <c r="K101" s="972">
        <v>1</v>
      </c>
      <c r="L101" s="1021" t="s">
        <v>1296</v>
      </c>
      <c r="M101" s="972" t="s">
        <v>196</v>
      </c>
      <c r="N101" s="972" t="s">
        <v>616</v>
      </c>
      <c r="O101" s="972" t="s">
        <v>616</v>
      </c>
      <c r="P101" s="972" t="s">
        <v>1249</v>
      </c>
      <c r="Q101" s="972" t="s">
        <v>987</v>
      </c>
      <c r="R101" s="972" t="s">
        <v>616</v>
      </c>
      <c r="S101" s="1022" t="s">
        <v>1296</v>
      </c>
      <c r="T101" s="60" t="s">
        <v>1088</v>
      </c>
      <c r="U101" s="1000">
        <v>46273</v>
      </c>
      <c r="V101" s="1023">
        <v>46282</v>
      </c>
      <c r="W101" s="972"/>
      <c r="X101" s="994"/>
      <c r="Y101" s="972">
        <v>1003449536</v>
      </c>
      <c r="Z101" s="255" t="s">
        <v>1210</v>
      </c>
    </row>
    <row r="102" s="255" customFormat="1" ht="23" customHeight="1" spans="1:27">
      <c r="A102" s="972">
        <f t="shared" si="8"/>
        <v>99</v>
      </c>
      <c r="B102" s="972" t="s">
        <v>209</v>
      </c>
      <c r="C102" s="972" t="s">
        <v>909</v>
      </c>
      <c r="D102" s="972" t="s">
        <v>1320</v>
      </c>
      <c r="E102" s="183" t="s">
        <v>1321</v>
      </c>
      <c r="F102" s="973">
        <v>46170</v>
      </c>
      <c r="G102" s="973">
        <v>46280</v>
      </c>
      <c r="H102" s="973">
        <v>46280</v>
      </c>
      <c r="I102" s="973">
        <v>46196</v>
      </c>
      <c r="J102" s="972">
        <v>1800</v>
      </c>
      <c r="K102" s="972">
        <v>1</v>
      </c>
      <c r="L102" s="1021" t="s">
        <v>1296</v>
      </c>
      <c r="M102" s="972" t="s">
        <v>196</v>
      </c>
      <c r="N102" s="972" t="s">
        <v>616</v>
      </c>
      <c r="O102" s="972" t="s">
        <v>616</v>
      </c>
      <c r="P102" s="972" t="s">
        <v>1249</v>
      </c>
      <c r="Q102" s="972" t="s">
        <v>987</v>
      </c>
      <c r="R102" s="972" t="s">
        <v>616</v>
      </c>
      <c r="S102" s="1022" t="s">
        <v>1296</v>
      </c>
      <c r="T102" s="60" t="s">
        <v>1088</v>
      </c>
      <c r="U102" s="1000">
        <v>46280</v>
      </c>
      <c r="V102" s="1024">
        <v>46289</v>
      </c>
      <c r="W102" s="972"/>
      <c r="X102" s="994"/>
      <c r="Y102" s="972">
        <v>1003449460</v>
      </c>
      <c r="Z102" s="255" t="s">
        <v>1210</v>
      </c>
    </row>
    <row r="103" s="255" customFormat="1" ht="23" customHeight="1" spans="1:27">
      <c r="A103" s="972">
        <f t="shared" si="8"/>
        <v>100</v>
      </c>
      <c r="B103" s="972" t="s">
        <v>209</v>
      </c>
      <c r="C103" s="972" t="s">
        <v>909</v>
      </c>
      <c r="D103" s="972" t="s">
        <v>1322</v>
      </c>
      <c r="E103" s="183" t="s">
        <v>1323</v>
      </c>
      <c r="F103" s="973">
        <v>46170</v>
      </c>
      <c r="G103" s="973">
        <v>46280</v>
      </c>
      <c r="H103" s="973">
        <v>46280</v>
      </c>
      <c r="I103" s="973">
        <v>46196</v>
      </c>
      <c r="J103" s="972">
        <v>1800</v>
      </c>
      <c r="K103" s="972">
        <v>1</v>
      </c>
      <c r="L103" s="1021" t="s">
        <v>1296</v>
      </c>
      <c r="M103" s="972" t="s">
        <v>196</v>
      </c>
      <c r="N103" s="972" t="s">
        <v>616</v>
      </c>
      <c r="O103" s="972" t="s">
        <v>616</v>
      </c>
      <c r="P103" s="972" t="s">
        <v>1249</v>
      </c>
      <c r="Q103" s="972" t="s">
        <v>987</v>
      </c>
      <c r="R103" s="972" t="s">
        <v>616</v>
      </c>
      <c r="S103" s="1022" t="s">
        <v>1296</v>
      </c>
      <c r="T103" s="60" t="s">
        <v>1088</v>
      </c>
      <c r="U103" s="1000">
        <v>46280</v>
      </c>
      <c r="V103" s="1024">
        <v>46289</v>
      </c>
      <c r="W103" s="972"/>
      <c r="X103" s="994"/>
      <c r="Y103" s="972">
        <v>1003449481</v>
      </c>
      <c r="Z103" s="255" t="s">
        <v>1210</v>
      </c>
    </row>
    <row r="104" s="255" customFormat="1" ht="23" customHeight="1" spans="1:27">
      <c r="A104" s="972">
        <f t="shared" ref="A104:A117" si="9">ROW()-3</f>
        <v>101</v>
      </c>
      <c r="B104" s="972" t="s">
        <v>209</v>
      </c>
      <c r="C104" s="972" t="s">
        <v>909</v>
      </c>
      <c r="D104" s="972" t="s">
        <v>1324</v>
      </c>
      <c r="E104" s="183" t="s">
        <v>1325</v>
      </c>
      <c r="F104" s="973">
        <v>46183</v>
      </c>
      <c r="G104" s="973">
        <v>46282</v>
      </c>
      <c r="H104" s="973">
        <v>46282</v>
      </c>
      <c r="I104" s="973">
        <v>46205</v>
      </c>
      <c r="J104" s="972">
        <v>2700</v>
      </c>
      <c r="K104" s="972">
        <v>1</v>
      </c>
      <c r="L104" s="1021" t="s">
        <v>1296</v>
      </c>
      <c r="M104" s="972" t="s">
        <v>196</v>
      </c>
      <c r="N104" s="972" t="s">
        <v>616</v>
      </c>
      <c r="O104" s="972" t="s">
        <v>616</v>
      </c>
      <c r="P104" s="972" t="s">
        <v>1207</v>
      </c>
      <c r="Q104" s="972" t="s">
        <v>1207</v>
      </c>
      <c r="R104" s="972" t="s">
        <v>616</v>
      </c>
      <c r="S104" s="1022" t="s">
        <v>1296</v>
      </c>
      <c r="T104" s="60" t="s">
        <v>1088</v>
      </c>
      <c r="U104" s="1000">
        <v>46282</v>
      </c>
      <c r="V104" s="1023">
        <v>46294</v>
      </c>
      <c r="W104" s="972"/>
      <c r="X104" s="994"/>
      <c r="Y104" s="1290" t="s">
        <v>1326</v>
      </c>
      <c r="Z104" s="255" t="s">
        <v>1210</v>
      </c>
      <c r="AA104" s="255" t="s">
        <v>1211</v>
      </c>
    </row>
    <row r="105" s="255" customFormat="1" ht="23" customHeight="1" spans="1:27">
      <c r="A105" s="972">
        <f t="shared" si="9"/>
        <v>102</v>
      </c>
      <c r="B105" s="972" t="s">
        <v>209</v>
      </c>
      <c r="C105" s="972" t="s">
        <v>909</v>
      </c>
      <c r="D105" s="972" t="s">
        <v>1327</v>
      </c>
      <c r="E105" s="183" t="s">
        <v>1328</v>
      </c>
      <c r="F105" s="973">
        <v>46183</v>
      </c>
      <c r="G105" s="973">
        <v>46282</v>
      </c>
      <c r="H105" s="973">
        <v>46282</v>
      </c>
      <c r="I105" s="973">
        <v>46205</v>
      </c>
      <c r="J105" s="972">
        <v>3420</v>
      </c>
      <c r="K105" s="972">
        <v>1</v>
      </c>
      <c r="L105" s="1021" t="s">
        <v>1296</v>
      </c>
      <c r="M105" s="972" t="s">
        <v>196</v>
      </c>
      <c r="N105" s="972" t="s">
        <v>616</v>
      </c>
      <c r="O105" s="972" t="s">
        <v>616</v>
      </c>
      <c r="P105" s="972" t="s">
        <v>1207</v>
      </c>
      <c r="Q105" s="972" t="s">
        <v>1207</v>
      </c>
      <c r="R105" s="972" t="s">
        <v>616</v>
      </c>
      <c r="S105" s="1022" t="s">
        <v>1296</v>
      </c>
      <c r="T105" s="60" t="s">
        <v>1088</v>
      </c>
      <c r="U105" s="1000">
        <v>46282</v>
      </c>
      <c r="V105" s="1023">
        <v>46294</v>
      </c>
      <c r="W105" s="972"/>
      <c r="X105" s="994"/>
      <c r="Y105" s="1290" t="s">
        <v>1329</v>
      </c>
      <c r="Z105" s="255" t="s">
        <v>1210</v>
      </c>
      <c r="AA105" s="255" t="s">
        <v>1211</v>
      </c>
    </row>
    <row r="106" s="255" customFormat="1" ht="23" customHeight="1" spans="1:27">
      <c r="A106" s="972">
        <f t="shared" si="9"/>
        <v>103</v>
      </c>
      <c r="B106" s="972" t="s">
        <v>209</v>
      </c>
      <c r="C106" s="972" t="s">
        <v>909</v>
      </c>
      <c r="D106" s="972" t="s">
        <v>1330</v>
      </c>
      <c r="E106" s="183" t="s">
        <v>1331</v>
      </c>
      <c r="F106" s="973">
        <v>46183</v>
      </c>
      <c r="G106" s="973">
        <v>46282</v>
      </c>
      <c r="H106" s="973">
        <v>46282</v>
      </c>
      <c r="I106" s="973">
        <v>46205</v>
      </c>
      <c r="J106" s="972">
        <v>6300</v>
      </c>
      <c r="K106" s="972">
        <v>1</v>
      </c>
      <c r="L106" s="1021" t="s">
        <v>1296</v>
      </c>
      <c r="M106" s="972" t="s">
        <v>196</v>
      </c>
      <c r="N106" s="972" t="s">
        <v>616</v>
      </c>
      <c r="O106" s="972" t="s">
        <v>616</v>
      </c>
      <c r="P106" s="972" t="s">
        <v>1207</v>
      </c>
      <c r="Q106" s="972" t="s">
        <v>1207</v>
      </c>
      <c r="R106" s="972" t="s">
        <v>616</v>
      </c>
      <c r="S106" s="1022" t="s">
        <v>1296</v>
      </c>
      <c r="T106" s="60" t="s">
        <v>1088</v>
      </c>
      <c r="U106" s="1000">
        <v>46282</v>
      </c>
      <c r="V106" s="1023">
        <v>46294</v>
      </c>
      <c r="W106" s="972"/>
      <c r="X106" s="994"/>
      <c r="Y106" s="1290" t="s">
        <v>1332</v>
      </c>
      <c r="Z106" s="255" t="s">
        <v>1210</v>
      </c>
      <c r="AA106" s="255" t="s">
        <v>1211</v>
      </c>
    </row>
    <row r="107" s="255" customFormat="1" ht="23" customHeight="1" spans="1:27">
      <c r="A107" s="972">
        <f t="shared" si="9"/>
        <v>104</v>
      </c>
      <c r="B107" s="972" t="s">
        <v>209</v>
      </c>
      <c r="C107" s="972" t="s">
        <v>909</v>
      </c>
      <c r="D107" s="972" t="s">
        <v>1333</v>
      </c>
      <c r="E107" s="183" t="s">
        <v>1334</v>
      </c>
      <c r="F107" s="973">
        <v>46183</v>
      </c>
      <c r="G107" s="973">
        <v>46282</v>
      </c>
      <c r="H107" s="973">
        <v>46282</v>
      </c>
      <c r="I107" s="973">
        <v>46205</v>
      </c>
      <c r="J107" s="972">
        <v>3240</v>
      </c>
      <c r="K107" s="972">
        <v>1</v>
      </c>
      <c r="L107" s="1025" t="s">
        <v>1296</v>
      </c>
      <c r="M107" s="972" t="s">
        <v>196</v>
      </c>
      <c r="N107" s="972" t="s">
        <v>616</v>
      </c>
      <c r="O107" s="972" t="s">
        <v>616</v>
      </c>
      <c r="P107" s="972" t="s">
        <v>1207</v>
      </c>
      <c r="Q107" s="972" t="s">
        <v>1207</v>
      </c>
      <c r="R107" s="972" t="s">
        <v>616</v>
      </c>
      <c r="S107" s="1022" t="s">
        <v>1296</v>
      </c>
      <c r="T107" s="60" t="s">
        <v>1088</v>
      </c>
      <c r="U107" s="1000">
        <v>46282</v>
      </c>
      <c r="V107" s="1023">
        <v>46294</v>
      </c>
      <c r="W107" s="972"/>
      <c r="X107" s="994"/>
      <c r="Y107" s="1290" t="s">
        <v>1335</v>
      </c>
      <c r="Z107" s="255" t="s">
        <v>1210</v>
      </c>
      <c r="AA107" s="255" t="s">
        <v>1211</v>
      </c>
    </row>
    <row r="108" s="255" customFormat="1" ht="23" customHeight="1" spans="1:27">
      <c r="A108" s="972">
        <f t="shared" si="9"/>
        <v>105</v>
      </c>
      <c r="B108" s="972" t="s">
        <v>209</v>
      </c>
      <c r="C108" s="972" t="s">
        <v>909</v>
      </c>
      <c r="D108" s="972" t="s">
        <v>1336</v>
      </c>
      <c r="E108" s="183" t="s">
        <v>1337</v>
      </c>
      <c r="F108" s="973">
        <v>46183</v>
      </c>
      <c r="G108" s="973">
        <v>46282</v>
      </c>
      <c r="H108" s="973">
        <v>46282</v>
      </c>
      <c r="I108" s="973">
        <v>46205</v>
      </c>
      <c r="J108" s="972">
        <v>2520</v>
      </c>
      <c r="K108" s="972">
        <v>1</v>
      </c>
      <c r="L108" s="1025" t="s">
        <v>1296</v>
      </c>
      <c r="M108" s="972" t="s">
        <v>196</v>
      </c>
      <c r="N108" s="972" t="s">
        <v>616</v>
      </c>
      <c r="O108" s="972" t="s">
        <v>616</v>
      </c>
      <c r="P108" s="972" t="s">
        <v>1207</v>
      </c>
      <c r="Q108" s="972" t="s">
        <v>1207</v>
      </c>
      <c r="R108" s="972" t="s">
        <v>616</v>
      </c>
      <c r="S108" s="1022" t="s">
        <v>1296</v>
      </c>
      <c r="T108" s="60" t="s">
        <v>1088</v>
      </c>
      <c r="U108" s="1000">
        <v>46282</v>
      </c>
      <c r="V108" s="1023">
        <v>46294</v>
      </c>
      <c r="W108" s="972"/>
      <c r="X108" s="994"/>
      <c r="Y108" s="1290" t="s">
        <v>1338</v>
      </c>
      <c r="Z108" s="255" t="s">
        <v>1210</v>
      </c>
      <c r="AA108" s="255" t="s">
        <v>1211</v>
      </c>
    </row>
    <row r="109" s="255" customFormat="1" ht="23" customHeight="1" spans="1:27">
      <c r="A109" s="972">
        <f t="shared" si="9"/>
        <v>106</v>
      </c>
      <c r="B109" s="972" t="s">
        <v>209</v>
      </c>
      <c r="C109" s="972" t="s">
        <v>909</v>
      </c>
      <c r="D109" s="972" t="s">
        <v>1339</v>
      </c>
      <c r="E109" s="183" t="s">
        <v>1340</v>
      </c>
      <c r="F109" s="973">
        <v>46183</v>
      </c>
      <c r="G109" s="973">
        <v>46282</v>
      </c>
      <c r="H109" s="973">
        <v>46282</v>
      </c>
      <c r="I109" s="973">
        <v>46205</v>
      </c>
      <c r="J109" s="972">
        <v>3420</v>
      </c>
      <c r="K109" s="972">
        <v>1</v>
      </c>
      <c r="L109" s="1021" t="s">
        <v>1296</v>
      </c>
      <c r="M109" s="972" t="s">
        <v>196</v>
      </c>
      <c r="N109" s="972" t="s">
        <v>616</v>
      </c>
      <c r="O109" s="972" t="s">
        <v>616</v>
      </c>
      <c r="P109" s="972" t="s">
        <v>1207</v>
      </c>
      <c r="Q109" s="972" t="s">
        <v>1207</v>
      </c>
      <c r="R109" s="972" t="s">
        <v>616</v>
      </c>
      <c r="S109" s="1022" t="s">
        <v>1296</v>
      </c>
      <c r="T109" s="60" t="s">
        <v>1088</v>
      </c>
      <c r="U109" s="1000">
        <v>46282</v>
      </c>
      <c r="V109" s="1023">
        <v>46294</v>
      </c>
      <c r="W109" s="972"/>
      <c r="X109" s="994"/>
      <c r="Y109" s="1290" t="s">
        <v>1341</v>
      </c>
      <c r="Z109" s="255" t="s">
        <v>1210</v>
      </c>
      <c r="AA109" s="255" t="s">
        <v>1211</v>
      </c>
    </row>
    <row r="110" s="255" customFormat="1" ht="23" customHeight="1" spans="1:27">
      <c r="A110" s="972">
        <f t="shared" si="9"/>
        <v>107</v>
      </c>
      <c r="B110" s="972" t="s">
        <v>1342</v>
      </c>
      <c r="C110" s="972" t="s">
        <v>114</v>
      </c>
      <c r="D110" s="972" t="s">
        <v>1343</v>
      </c>
      <c r="E110" s="183" t="s">
        <v>1344</v>
      </c>
      <c r="F110" s="973">
        <v>46191</v>
      </c>
      <c r="G110" s="973">
        <v>46283</v>
      </c>
      <c r="H110" s="973">
        <v>46283</v>
      </c>
      <c r="I110" s="973">
        <v>46213</v>
      </c>
      <c r="J110" s="972">
        <v>300</v>
      </c>
      <c r="K110" s="972">
        <v>1</v>
      </c>
      <c r="L110" s="1021" t="s">
        <v>1296</v>
      </c>
      <c r="M110" s="972" t="s">
        <v>196</v>
      </c>
      <c r="N110" s="972" t="s">
        <v>616</v>
      </c>
      <c r="O110" s="972" t="s">
        <v>616</v>
      </c>
      <c r="P110" s="972" t="s">
        <v>82</v>
      </c>
      <c r="Q110" s="972" t="s">
        <v>82</v>
      </c>
      <c r="R110" s="972" t="s">
        <v>629</v>
      </c>
      <c r="S110" s="1022" t="s">
        <v>1296</v>
      </c>
      <c r="T110" s="60" t="s">
        <v>1345</v>
      </c>
      <c r="U110" s="1000">
        <v>46283</v>
      </c>
      <c r="V110" s="1024">
        <v>46287</v>
      </c>
      <c r="W110" s="972"/>
      <c r="X110" s="994"/>
      <c r="Y110" s="972" t="s">
        <v>1346</v>
      </c>
      <c r="Z110" s="255" t="s">
        <v>1100</v>
      </c>
    </row>
    <row r="111" s="255" customFormat="1" ht="35" customHeight="1" spans="1:27">
      <c r="A111" s="1009">
        <f t="shared" si="9"/>
        <v>108</v>
      </c>
      <c r="B111" s="88" t="s">
        <v>1347</v>
      </c>
      <c r="C111" s="1009" t="s">
        <v>741</v>
      </c>
      <c r="D111" s="1009" t="s">
        <v>1348</v>
      </c>
      <c r="E111" s="1009" t="s">
        <v>1349</v>
      </c>
      <c r="F111" s="1010">
        <v>46244</v>
      </c>
      <c r="G111" s="1010">
        <v>46343</v>
      </c>
      <c r="H111" s="1010">
        <v>46343</v>
      </c>
      <c r="I111" s="1009"/>
      <c r="J111" s="1009">
        <v>2200</v>
      </c>
      <c r="K111" s="972">
        <v>1</v>
      </c>
      <c r="L111" s="993" t="s">
        <v>1350</v>
      </c>
      <c r="M111" s="972" t="s">
        <v>196</v>
      </c>
      <c r="N111" s="972"/>
      <c r="O111" s="972"/>
      <c r="P111" s="972"/>
      <c r="Q111" s="972"/>
      <c r="R111" s="972"/>
      <c r="S111" s="972" t="s">
        <v>1350</v>
      </c>
      <c r="T111" s="60" t="s">
        <v>1351</v>
      </c>
      <c r="U111" s="1000"/>
      <c r="V111" s="1026">
        <v>46343</v>
      </c>
      <c r="W111" s="972"/>
      <c r="X111" s="994"/>
      <c r="Y111" s="972"/>
      <c r="Z111" s="255" t="s">
        <v>1100</v>
      </c>
    </row>
    <row r="112" s="255" customFormat="1" ht="27" customHeight="1" spans="1:27">
      <c r="A112" s="1009">
        <f t="shared" si="9"/>
        <v>109</v>
      </c>
      <c r="B112" s="88"/>
      <c r="C112" s="1009"/>
      <c r="D112" s="1009" t="s">
        <v>1352</v>
      </c>
      <c r="E112" s="1009" t="s">
        <v>1349</v>
      </c>
      <c r="F112" s="1010"/>
      <c r="G112" s="1010"/>
      <c r="H112" s="1010"/>
      <c r="I112" s="1009"/>
      <c r="J112" s="1009">
        <v>50</v>
      </c>
      <c r="K112" s="972">
        <v>1</v>
      </c>
      <c r="L112" s="993"/>
      <c r="M112" s="972"/>
      <c r="N112" s="972"/>
      <c r="O112" s="972"/>
      <c r="P112" s="972"/>
      <c r="Q112" s="972"/>
      <c r="R112" s="972"/>
      <c r="S112" s="972"/>
      <c r="T112" s="60"/>
      <c r="U112" s="1000"/>
      <c r="V112" s="1026"/>
      <c r="W112" s="972"/>
      <c r="X112" s="994"/>
      <c r="Y112" s="972"/>
    </row>
    <row r="113" s="255" customFormat="1" ht="33" customHeight="1" spans="1:26">
      <c r="A113" s="975">
        <f t="shared" si="9"/>
        <v>110</v>
      </c>
      <c r="B113" s="91" t="s">
        <v>1076</v>
      </c>
      <c r="C113" s="975" t="s">
        <v>114</v>
      </c>
      <c r="D113" s="975" t="s">
        <v>1353</v>
      </c>
      <c r="E113" s="975"/>
      <c r="F113" s="976">
        <v>46265</v>
      </c>
      <c r="G113" s="976">
        <v>46037</v>
      </c>
      <c r="H113" s="976"/>
      <c r="I113" s="975"/>
      <c r="J113" s="975">
        <v>500</v>
      </c>
      <c r="K113" s="972">
        <v>1</v>
      </c>
      <c r="L113" s="993"/>
      <c r="M113" s="972" t="s">
        <v>196</v>
      </c>
      <c r="N113" s="972"/>
      <c r="O113" s="972"/>
      <c r="P113" s="972"/>
      <c r="Q113" s="972"/>
      <c r="R113" s="972"/>
      <c r="S113" s="972"/>
      <c r="T113" s="60" t="s">
        <v>1078</v>
      </c>
      <c r="U113" s="1000"/>
      <c r="V113" s="1026"/>
      <c r="W113" s="972"/>
      <c r="X113" s="994"/>
      <c r="Y113" s="972">
        <v>29794154</v>
      </c>
      <c r="Z113" s="255" t="s">
        <v>1100</v>
      </c>
    </row>
    <row r="114" s="255" customFormat="1" ht="33" customHeight="1" spans="1:26">
      <c r="A114" s="975">
        <f t="shared" si="9"/>
        <v>111</v>
      </c>
      <c r="B114" s="91" t="s">
        <v>1076</v>
      </c>
      <c r="C114" s="975" t="s">
        <v>114</v>
      </c>
      <c r="D114" s="975" t="s">
        <v>1353</v>
      </c>
      <c r="E114" s="975"/>
      <c r="F114" s="976">
        <v>46265</v>
      </c>
      <c r="G114" s="976">
        <v>46037</v>
      </c>
      <c r="H114" s="976"/>
      <c r="I114" s="975"/>
      <c r="J114" s="975">
        <v>300</v>
      </c>
      <c r="K114" s="972">
        <v>1</v>
      </c>
      <c r="L114" s="993"/>
      <c r="M114" s="972" t="s">
        <v>196</v>
      </c>
      <c r="N114" s="972"/>
      <c r="O114" s="972"/>
      <c r="P114" s="972"/>
      <c r="Q114" s="972"/>
      <c r="R114" s="972"/>
      <c r="S114" s="972"/>
      <c r="T114" s="60" t="s">
        <v>1078</v>
      </c>
      <c r="U114" s="1000"/>
      <c r="V114" s="1026"/>
      <c r="W114" s="972"/>
      <c r="X114" s="994"/>
      <c r="Y114" s="972">
        <v>29794155</v>
      </c>
      <c r="Z114" s="255" t="s">
        <v>1100</v>
      </c>
    </row>
    <row r="115" s="255" customFormat="1" ht="33" customHeight="1" spans="1:26">
      <c r="A115" s="975">
        <f t="shared" si="9"/>
        <v>112</v>
      </c>
      <c r="B115" s="91" t="s">
        <v>1354</v>
      </c>
      <c r="C115" s="975" t="s">
        <v>645</v>
      </c>
      <c r="D115" s="975" t="s">
        <v>1355</v>
      </c>
      <c r="E115" s="975"/>
      <c r="F115" s="976">
        <v>46274</v>
      </c>
      <c r="G115" s="976">
        <v>46371</v>
      </c>
      <c r="H115" s="976"/>
      <c r="I115" s="975"/>
      <c r="J115" s="975">
        <v>420</v>
      </c>
      <c r="K115" s="972">
        <v>1</v>
      </c>
      <c r="L115" s="993"/>
      <c r="M115" s="1027" t="s">
        <v>104</v>
      </c>
      <c r="N115" s="972"/>
      <c r="O115" s="972"/>
      <c r="P115" s="972"/>
      <c r="Q115" s="972"/>
      <c r="R115" s="972"/>
      <c r="S115" s="972"/>
      <c r="T115" s="60" t="s">
        <v>1078</v>
      </c>
      <c r="U115" s="1000"/>
      <c r="V115" s="1026"/>
      <c r="W115" s="972"/>
      <c r="X115" s="994"/>
      <c r="Y115" s="972"/>
      <c r="Z115" s="255" t="s">
        <v>1100</v>
      </c>
    </row>
    <row r="116" s="255" customFormat="1" ht="28.5" customHeight="1" spans="1:26">
      <c r="A116" s="972">
        <f t="shared" si="9"/>
        <v>113</v>
      </c>
      <c r="B116" s="972"/>
      <c r="C116" s="972"/>
      <c r="D116" s="972"/>
      <c r="E116" s="972"/>
      <c r="F116" s="972"/>
      <c r="G116" s="972"/>
      <c r="H116" s="972"/>
      <c r="I116" s="972"/>
      <c r="J116" s="972"/>
      <c r="K116" s="972"/>
      <c r="L116" s="993"/>
      <c r="M116" s="972"/>
      <c r="N116" s="972"/>
      <c r="O116" s="972"/>
      <c r="P116" s="972"/>
      <c r="Q116" s="972"/>
      <c r="R116" s="972"/>
      <c r="S116" s="972"/>
      <c r="T116" s="972"/>
      <c r="U116" s="993"/>
      <c r="V116" s="972"/>
      <c r="W116" s="972"/>
      <c r="X116" s="994"/>
      <c r="Y116" s="972"/>
    </row>
    <row r="117" s="3" customFormat="1" ht="21.75" customHeight="1" spans="1:26">
      <c r="A117" s="94" t="s">
        <v>1356</v>
      </c>
      <c r="B117" s="94"/>
      <c r="C117" s="94"/>
      <c r="D117" s="94"/>
      <c r="E117" s="94"/>
      <c r="F117" s="94"/>
      <c r="G117" s="94"/>
      <c r="H117" s="94"/>
      <c r="I117" s="94"/>
      <c r="J117" s="95">
        <f>SUM(J4:J116)</f>
        <v>265686</v>
      </c>
      <c r="K117" s="95"/>
      <c r="L117" s="95"/>
      <c r="M117" s="96"/>
      <c r="N117" s="96"/>
      <c r="O117" s="96"/>
      <c r="P117" s="96"/>
      <c r="Q117" s="96"/>
      <c r="R117" s="96"/>
      <c r="S117" s="96"/>
      <c r="T117" s="96"/>
      <c r="U117" s="280"/>
      <c r="V117" s="97"/>
      <c r="W117" s="97"/>
      <c r="X117" s="493"/>
      <c r="Y117" s="917"/>
    </row>
    <row r="118" s="4" customFormat="1" ht="17" customHeight="1" spans="1:26">
      <c r="A118" s="100" t="s">
        <v>1357</v>
      </c>
      <c r="B118" s="100"/>
      <c r="C118" s="100"/>
      <c r="D118" s="100"/>
      <c r="E118" s="100"/>
      <c r="F118" s="100"/>
      <c r="G118" s="100"/>
      <c r="H118" s="100"/>
      <c r="I118" s="100"/>
      <c r="J118" s="147">
        <f>28556+620+39400+20720+24120+29700+38160+80640+300+2250</f>
        <v>264466</v>
      </c>
      <c r="K118" s="100"/>
      <c r="L118" s="147"/>
      <c r="M118" s="100"/>
      <c r="N118" s="100"/>
      <c r="O118" s="100"/>
      <c r="P118" s="100"/>
      <c r="Q118" s="100"/>
      <c r="R118" s="100"/>
      <c r="S118" s="100"/>
      <c r="T118" s="96"/>
      <c r="U118" s="1011"/>
      <c r="V118" s="100"/>
      <c r="W118" s="100"/>
      <c r="X118" s="1012"/>
      <c r="Y118" s="918"/>
    </row>
    <row r="119" s="4" customFormat="1" ht="21" customHeight="1" spans="1:26">
      <c r="A119" s="149" t="s">
        <v>67</v>
      </c>
      <c r="B119" s="149"/>
      <c r="C119" s="149"/>
      <c r="D119" s="149"/>
      <c r="E119" s="149"/>
      <c r="F119" s="149"/>
      <c r="G119" s="149"/>
      <c r="H119" s="149"/>
      <c r="I119" s="149"/>
      <c r="J119" s="1028">
        <f>J118-J117</f>
        <v>-1220</v>
      </c>
      <c r="K119" s="368"/>
      <c r="L119" s="151"/>
      <c r="M119" s="151"/>
      <c r="N119" s="151"/>
      <c r="O119" s="151"/>
      <c r="P119" s="151"/>
      <c r="Q119" s="151"/>
      <c r="R119" s="151"/>
      <c r="S119" s="151"/>
      <c r="T119" s="151"/>
      <c r="U119" s="1011"/>
      <c r="V119" s="100"/>
      <c r="W119" s="100"/>
      <c r="X119" s="1012"/>
      <c r="Y119" s="918"/>
    </row>
    <row r="120" ht="17.1" customHeight="1" spans="1:26">
      <c r="A120" s="1029"/>
      <c r="B120" s="1013" t="s">
        <v>68</v>
      </c>
      <c r="C120" s="1013"/>
      <c r="D120" s="1013"/>
      <c r="E120" s="1013"/>
      <c r="F120" s="1013"/>
      <c r="G120" s="1013"/>
      <c r="H120" s="1013"/>
      <c r="I120" s="1013"/>
      <c r="J120" s="250"/>
      <c r="T120" s="192"/>
      <c r="V120" s="193"/>
      <c r="W120" s="193"/>
      <c r="X120" s="1014"/>
      <c r="Y120" s="194"/>
      <c r="Z120" s="193"/>
    </row>
  </sheetData>
  <autoFilter xmlns:etc="http://www.wps.cn/officeDocument/2017/etCustomData" ref="A3:AA120" etc:filterBottomFollowUsedRange="0">
    <filterColumn colId="23">
      <filters blank="1"/>
    </filterColumn>
    <sortState ref="A3:AA120">
      <sortCondition ref="U3"/>
    </sortState>
    <extLst/>
  </autoFilter>
  <mergeCells count="31">
    <mergeCell ref="A1:T1"/>
    <mergeCell ref="U1:W1"/>
    <mergeCell ref="X1:Y1"/>
    <mergeCell ref="A117:I117"/>
    <mergeCell ref="A118:I118"/>
    <mergeCell ref="A119:I11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</mergeCells>
  <conditionalFormatting sqref="J119">
    <cfRule type="cellIs" dxfId="1" priority="1" operator="lessThan">
      <formula>0</formula>
    </cfRule>
  </conditionalFormatting>
  <conditionalFormatting sqref="L119:T119">
    <cfRule type="cellIs" dxfId="0" priority="2" operator="lessThan">
      <formula>0</formula>
    </cfRule>
  </conditionalFormatting>
  <pageMargins left="0.751388888888889" right="0.751388888888889" top="0.432638888888889" bottom="0.235416666666667" header="0.275" footer="0.354166666666667"/>
  <pageSetup paperSize="9" scale="59" fitToHeight="0" orientation="landscape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C000"/>
  </sheetPr>
  <dimension ref="A1:AJ97"/>
  <sheetViews>
    <sheetView workbookViewId="0">
      <pane xSplit="11" ySplit="3" topLeftCell="U62" activePane="bottomRight" state="frozen"/>
      <selection/>
      <selection pane="topRight"/>
      <selection pane="bottomLeft"/>
      <selection pane="bottomRight" activeCell="AF70" sqref="AF70"/>
    </sheetView>
  </sheetViews>
  <sheetFormatPr defaultColWidth="9" defaultRowHeight="14.25"/>
  <cols>
    <col min="1" max="1" width="4" customWidth="1"/>
    <col min="2" max="2" width="8.625" customWidth="1"/>
    <col min="3" max="3" width="7.125" customWidth="1"/>
    <col min="4" max="4" width="12.125" customWidth="1"/>
    <col min="5" max="5" width="9.5" customWidth="1"/>
    <col min="6" max="8" width="6.125" customWidth="1"/>
    <col min="9" max="9" width="5.375" customWidth="1"/>
    <col min="10" max="10" width="8.25" customWidth="1"/>
    <col min="11" max="12" width="4.875" customWidth="1"/>
    <col min="13" max="23" width="5.625" customWidth="1"/>
    <col min="24" max="24" width="8.125" customWidth="1"/>
    <col min="25" max="25" width="5.125" customWidth="1"/>
    <col min="26" max="27" width="5.5" customWidth="1"/>
    <col min="28" max="28" width="9" customWidth="1"/>
    <col min="29" max="29" width="26.125" customWidth="1"/>
    <col min="30" max="30" width="9.25"/>
    <col min="33" max="33" width="9" style="980"/>
    <col min="34" max="34" width="13.25" customWidth="1"/>
    <col min="35" max="35" width="19" customWidth="1"/>
  </cols>
  <sheetData>
    <row r="1" ht="43.5" customHeight="1" spans="1:36">
      <c r="A1" s="375" t="s">
        <v>1358</v>
      </c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Y1" s="376"/>
      <c r="Z1" s="376"/>
      <c r="AA1" s="376"/>
      <c r="AB1" s="376"/>
      <c r="AC1" s="376"/>
      <c r="AD1" s="377"/>
      <c r="AE1" s="981" t="s">
        <v>1</v>
      </c>
      <c r="AF1" s="982"/>
      <c r="AG1" s="331">
        <f ca="1">TODAY()</f>
        <v>46277</v>
      </c>
      <c r="AH1" s="841"/>
      <c r="AI1" s="193"/>
    </row>
    <row r="2" s="190" customFormat="1" ht="24.75" customHeight="1" spans="1:36">
      <c r="A2" s="15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983" t="s">
        <v>1359</v>
      </c>
      <c r="M2" s="984"/>
      <c r="N2" s="984"/>
      <c r="O2" s="984"/>
      <c r="P2" s="984"/>
      <c r="Q2" s="984"/>
      <c r="R2" s="984"/>
      <c r="S2" s="984"/>
      <c r="T2" s="984"/>
      <c r="U2" s="984"/>
      <c r="V2" s="984"/>
      <c r="W2" s="985"/>
      <c r="X2" s="19" t="s">
        <v>14</v>
      </c>
      <c r="Y2" s="21" t="s">
        <v>995</v>
      </c>
      <c r="Z2" s="21" t="s">
        <v>1360</v>
      </c>
      <c r="AA2" s="21" t="s">
        <v>19</v>
      </c>
      <c r="AB2" s="21" t="s">
        <v>20</v>
      </c>
      <c r="AC2" s="24" t="s">
        <v>21</v>
      </c>
      <c r="AD2" s="986" t="s">
        <v>22</v>
      </c>
      <c r="AE2" s="204" t="s">
        <v>23</v>
      </c>
      <c r="AF2" s="204" t="s">
        <v>24</v>
      </c>
      <c r="AG2" s="987" t="s">
        <v>25</v>
      </c>
      <c r="AH2" s="842" t="s">
        <v>26</v>
      </c>
      <c r="AI2" s="206"/>
    </row>
    <row r="3" s="190" customFormat="1" ht="26" customHeight="1" spans="1:36">
      <c r="A3" s="15"/>
      <c r="B3" s="15"/>
      <c r="C3" s="15"/>
      <c r="D3" s="15"/>
      <c r="E3" s="29"/>
      <c r="F3" s="15"/>
      <c r="G3" s="15"/>
      <c r="H3" s="15"/>
      <c r="I3" s="15"/>
      <c r="J3" s="15"/>
      <c r="K3" s="15"/>
      <c r="L3" s="988" t="s">
        <v>1361</v>
      </c>
      <c r="M3" s="988" t="s">
        <v>1362</v>
      </c>
      <c r="N3" s="988" t="s">
        <v>1363</v>
      </c>
      <c r="O3" s="988" t="s">
        <v>1364</v>
      </c>
      <c r="P3" s="988" t="s">
        <v>1365</v>
      </c>
      <c r="Q3" s="988" t="s">
        <v>1366</v>
      </c>
      <c r="R3" s="988" t="s">
        <v>1367</v>
      </c>
      <c r="S3" s="988" t="s">
        <v>1368</v>
      </c>
      <c r="T3" s="988" t="s">
        <v>1369</v>
      </c>
      <c r="U3" s="988" t="s">
        <v>1370</v>
      </c>
      <c r="V3" s="988" t="s">
        <v>1371</v>
      </c>
      <c r="W3" s="988" t="s">
        <v>1372</v>
      </c>
      <c r="X3" s="19"/>
      <c r="Y3" s="21"/>
      <c r="Z3" s="21"/>
      <c r="AA3" s="21"/>
      <c r="AB3" s="21"/>
      <c r="AC3" s="24"/>
      <c r="AD3" s="986"/>
      <c r="AE3" s="204"/>
      <c r="AF3" s="204"/>
      <c r="AG3" s="987"/>
      <c r="AH3" s="842"/>
      <c r="AI3" s="206" t="s">
        <v>65</v>
      </c>
      <c r="AJ3" s="206" t="s">
        <v>382</v>
      </c>
    </row>
    <row r="4" s="255" customFormat="1" ht="35.1" hidden="1" customHeight="1" spans="1:36">
      <c r="A4" s="971">
        <f>ROW()-3</f>
        <v>1</v>
      </c>
      <c r="B4" s="971" t="s">
        <v>209</v>
      </c>
      <c r="C4" s="971" t="s">
        <v>909</v>
      </c>
      <c r="D4" s="971" t="s">
        <v>1083</v>
      </c>
      <c r="E4" s="971"/>
      <c r="F4" s="989">
        <v>45924</v>
      </c>
      <c r="G4" s="989">
        <v>46013</v>
      </c>
      <c r="H4" s="989">
        <v>46013</v>
      </c>
      <c r="I4" s="989">
        <v>45967</v>
      </c>
      <c r="J4" s="971">
        <f t="shared" ref="J4:J16" si="0">L4*12</f>
        <v>17280</v>
      </c>
      <c r="K4" s="971">
        <v>4</v>
      </c>
      <c r="L4" s="971">
        <v>1440</v>
      </c>
      <c r="M4" s="971">
        <f t="shared" ref="M4:W4" si="1">L$4</f>
        <v>1440</v>
      </c>
      <c r="N4" s="971">
        <f t="shared" si="1"/>
        <v>1440</v>
      </c>
      <c r="O4" s="971">
        <f t="shared" si="1"/>
        <v>1440</v>
      </c>
      <c r="P4" s="971">
        <f t="shared" si="1"/>
        <v>1440</v>
      </c>
      <c r="Q4" s="971">
        <f t="shared" si="1"/>
        <v>1440</v>
      </c>
      <c r="R4" s="971">
        <f t="shared" si="1"/>
        <v>1440</v>
      </c>
      <c r="S4" s="971">
        <f t="shared" si="1"/>
        <v>1440</v>
      </c>
      <c r="T4" s="971">
        <f t="shared" si="1"/>
        <v>1440</v>
      </c>
      <c r="U4" s="971">
        <f t="shared" si="1"/>
        <v>1440</v>
      </c>
      <c r="V4" s="971">
        <f t="shared" si="1"/>
        <v>1440</v>
      </c>
      <c r="W4" s="971">
        <f t="shared" si="1"/>
        <v>1440</v>
      </c>
      <c r="X4" s="971" t="s">
        <v>1084</v>
      </c>
      <c r="Y4" s="971" t="s">
        <v>196</v>
      </c>
      <c r="Z4" s="35" t="s">
        <v>1085</v>
      </c>
      <c r="AA4" s="35" t="s">
        <v>1373</v>
      </c>
      <c r="AB4" s="971" t="s">
        <v>1084</v>
      </c>
      <c r="AC4" s="35" t="s">
        <v>1374</v>
      </c>
      <c r="AD4" s="990">
        <v>46011</v>
      </c>
      <c r="AE4" s="991">
        <v>46008</v>
      </c>
      <c r="AF4" s="971"/>
      <c r="AG4" s="990">
        <v>46026</v>
      </c>
      <c r="AH4" s="1288" t="s">
        <v>1089</v>
      </c>
      <c r="AI4" s="255" t="s">
        <v>1375</v>
      </c>
    </row>
    <row r="5" s="255" customFormat="1" ht="35.1" hidden="1" customHeight="1" spans="1:36">
      <c r="A5" s="971">
        <f>ROW()-3</f>
        <v>2</v>
      </c>
      <c r="B5" s="971" t="s">
        <v>209</v>
      </c>
      <c r="C5" s="971" t="s">
        <v>909</v>
      </c>
      <c r="D5" s="971" t="s">
        <v>1091</v>
      </c>
      <c r="E5" s="971"/>
      <c r="F5" s="989">
        <v>45924</v>
      </c>
      <c r="G5" s="989">
        <v>46015</v>
      </c>
      <c r="H5" s="989">
        <v>46015</v>
      </c>
      <c r="I5" s="989">
        <v>45967</v>
      </c>
      <c r="J5" s="971">
        <f t="shared" si="0"/>
        <v>17280</v>
      </c>
      <c r="K5" s="971">
        <v>4</v>
      </c>
      <c r="L5" s="971">
        <v>1440</v>
      </c>
      <c r="M5" s="971">
        <f t="shared" ref="M5:W5" si="2">L$5</f>
        <v>1440</v>
      </c>
      <c r="N5" s="971">
        <f t="shared" si="2"/>
        <v>1440</v>
      </c>
      <c r="O5" s="971">
        <f t="shared" si="2"/>
        <v>1440</v>
      </c>
      <c r="P5" s="971">
        <f t="shared" si="2"/>
        <v>1440</v>
      </c>
      <c r="Q5" s="971">
        <f t="shared" si="2"/>
        <v>1440</v>
      </c>
      <c r="R5" s="971">
        <f t="shared" si="2"/>
        <v>1440</v>
      </c>
      <c r="S5" s="971">
        <f t="shared" si="2"/>
        <v>1440</v>
      </c>
      <c r="T5" s="971">
        <f t="shared" si="2"/>
        <v>1440</v>
      </c>
      <c r="U5" s="971">
        <f t="shared" si="2"/>
        <v>1440</v>
      </c>
      <c r="V5" s="971">
        <f t="shared" si="2"/>
        <v>1440</v>
      </c>
      <c r="W5" s="971">
        <f t="shared" si="2"/>
        <v>1440</v>
      </c>
      <c r="X5" s="971" t="s">
        <v>1084</v>
      </c>
      <c r="Y5" s="971" t="s">
        <v>196</v>
      </c>
      <c r="Z5" s="35" t="s">
        <v>1085</v>
      </c>
      <c r="AA5" s="35" t="s">
        <v>1373</v>
      </c>
      <c r="AB5" s="971" t="s">
        <v>1084</v>
      </c>
      <c r="AC5" s="35" t="s">
        <v>1374</v>
      </c>
      <c r="AD5" s="990">
        <v>46013</v>
      </c>
      <c r="AE5" s="991">
        <v>46008</v>
      </c>
      <c r="AF5" s="971"/>
      <c r="AG5" s="990">
        <v>46027</v>
      </c>
      <c r="AH5" s="1288" t="s">
        <v>1092</v>
      </c>
      <c r="AI5" s="255" t="s">
        <v>1375</v>
      </c>
    </row>
    <row r="6" s="255" customFormat="1" ht="35.1" hidden="1" customHeight="1" spans="1:36">
      <c r="A6" s="971">
        <f>ROW()-3</f>
        <v>3</v>
      </c>
      <c r="B6" s="971" t="s">
        <v>209</v>
      </c>
      <c r="C6" s="971" t="s">
        <v>909</v>
      </c>
      <c r="D6" s="971" t="s">
        <v>1093</v>
      </c>
      <c r="E6" s="971"/>
      <c r="F6" s="989">
        <v>45924</v>
      </c>
      <c r="G6" s="989">
        <v>46015</v>
      </c>
      <c r="H6" s="989">
        <v>46015</v>
      </c>
      <c r="I6" s="989">
        <v>45967</v>
      </c>
      <c r="J6" s="971">
        <f t="shared" si="0"/>
        <v>23040</v>
      </c>
      <c r="K6" s="971">
        <v>4</v>
      </c>
      <c r="L6" s="971">
        <v>1920</v>
      </c>
      <c r="M6" s="971">
        <f t="shared" ref="M6:W6" si="3">L$6</f>
        <v>1920</v>
      </c>
      <c r="N6" s="971">
        <f t="shared" si="3"/>
        <v>1920</v>
      </c>
      <c r="O6" s="971">
        <f t="shared" si="3"/>
        <v>1920</v>
      </c>
      <c r="P6" s="971">
        <f t="shared" si="3"/>
        <v>1920</v>
      </c>
      <c r="Q6" s="971">
        <f t="shared" si="3"/>
        <v>1920</v>
      </c>
      <c r="R6" s="971">
        <f t="shared" si="3"/>
        <v>1920</v>
      </c>
      <c r="S6" s="971">
        <f t="shared" si="3"/>
        <v>1920</v>
      </c>
      <c r="T6" s="971">
        <f t="shared" si="3"/>
        <v>1920</v>
      </c>
      <c r="U6" s="971">
        <f t="shared" si="3"/>
        <v>1920</v>
      </c>
      <c r="V6" s="971">
        <f t="shared" si="3"/>
        <v>1920</v>
      </c>
      <c r="W6" s="971">
        <f t="shared" si="3"/>
        <v>1920</v>
      </c>
      <c r="X6" s="971" t="s">
        <v>1084</v>
      </c>
      <c r="Y6" s="971" t="s">
        <v>196</v>
      </c>
      <c r="Z6" s="35" t="s">
        <v>1085</v>
      </c>
      <c r="AA6" s="35" t="s">
        <v>1373</v>
      </c>
      <c r="AB6" s="971" t="s">
        <v>1084</v>
      </c>
      <c r="AC6" s="35" t="s">
        <v>1374</v>
      </c>
      <c r="AD6" s="990">
        <v>46013</v>
      </c>
      <c r="AE6" s="991">
        <v>46008</v>
      </c>
      <c r="AF6" s="971"/>
      <c r="AG6" s="990">
        <v>46036</v>
      </c>
      <c r="AH6" s="1288" t="s">
        <v>1094</v>
      </c>
      <c r="AI6" s="255" t="s">
        <v>1375</v>
      </c>
    </row>
    <row r="7" s="255" customFormat="1" ht="28.5" hidden="1" customHeight="1" spans="1:36">
      <c r="A7" s="971">
        <f t="shared" ref="A7:A18" si="4">ROW()-3</f>
        <v>4</v>
      </c>
      <c r="B7" s="35" t="s">
        <v>1095</v>
      </c>
      <c r="C7" s="971" t="s">
        <v>909</v>
      </c>
      <c r="D7" s="971" t="s">
        <v>1376</v>
      </c>
      <c r="E7" s="971"/>
      <c r="F7" s="989">
        <v>45924</v>
      </c>
      <c r="G7" s="989">
        <v>46016</v>
      </c>
      <c r="H7" s="989">
        <v>46016</v>
      </c>
      <c r="I7" s="989">
        <v>45961</v>
      </c>
      <c r="J7" s="971">
        <f t="shared" si="0"/>
        <v>15744</v>
      </c>
      <c r="K7" s="971">
        <v>4</v>
      </c>
      <c r="L7" s="971">
        <v>1312</v>
      </c>
      <c r="M7" s="971">
        <f t="shared" ref="M7:W7" si="5">L$7</f>
        <v>1312</v>
      </c>
      <c r="N7" s="971">
        <f t="shared" si="5"/>
        <v>1312</v>
      </c>
      <c r="O7" s="971">
        <f t="shared" si="5"/>
        <v>1312</v>
      </c>
      <c r="P7" s="971">
        <f t="shared" si="5"/>
        <v>1312</v>
      </c>
      <c r="Q7" s="971">
        <f t="shared" si="5"/>
        <v>1312</v>
      </c>
      <c r="R7" s="971">
        <f t="shared" si="5"/>
        <v>1312</v>
      </c>
      <c r="S7" s="971">
        <f t="shared" si="5"/>
        <v>1312</v>
      </c>
      <c r="T7" s="971">
        <f t="shared" si="5"/>
        <v>1312</v>
      </c>
      <c r="U7" s="971">
        <f t="shared" si="5"/>
        <v>1312</v>
      </c>
      <c r="V7" s="971">
        <f t="shared" si="5"/>
        <v>1312</v>
      </c>
      <c r="W7" s="971">
        <f t="shared" si="5"/>
        <v>1312</v>
      </c>
      <c r="X7" s="971" t="s">
        <v>1084</v>
      </c>
      <c r="Y7" s="971" t="s">
        <v>196</v>
      </c>
      <c r="Z7" s="35" t="s">
        <v>1085</v>
      </c>
      <c r="AA7" s="35" t="s">
        <v>1097</v>
      </c>
      <c r="AB7" s="971" t="s">
        <v>1084</v>
      </c>
      <c r="AC7" s="35" t="s">
        <v>1377</v>
      </c>
      <c r="AD7" s="990">
        <v>46014</v>
      </c>
      <c r="AE7" s="991">
        <v>46014</v>
      </c>
      <c r="AF7" s="35"/>
      <c r="AG7" s="990">
        <v>46027</v>
      </c>
      <c r="AH7" s="1288" t="s">
        <v>1378</v>
      </c>
      <c r="AI7" s="255" t="s">
        <v>1379</v>
      </c>
    </row>
    <row r="8" s="255" customFormat="1" ht="28.5" hidden="1" customHeight="1" spans="1:36">
      <c r="A8" s="971">
        <f t="shared" si="4"/>
        <v>5</v>
      </c>
      <c r="B8" s="971" t="s">
        <v>209</v>
      </c>
      <c r="C8" s="971" t="s">
        <v>909</v>
      </c>
      <c r="D8" s="971" t="s">
        <v>1101</v>
      </c>
      <c r="E8" s="971"/>
      <c r="F8" s="989">
        <v>45924</v>
      </c>
      <c r="G8" s="989">
        <v>46019</v>
      </c>
      <c r="H8" s="989">
        <v>46019</v>
      </c>
      <c r="I8" s="989">
        <v>45967</v>
      </c>
      <c r="J8" s="971">
        <f t="shared" si="0"/>
        <v>23040</v>
      </c>
      <c r="K8" s="971">
        <v>4</v>
      </c>
      <c r="L8" s="971">
        <v>1920</v>
      </c>
      <c r="M8" s="971">
        <f t="shared" ref="M8:W8" si="6">L$8</f>
        <v>1920</v>
      </c>
      <c r="N8" s="971">
        <f t="shared" si="6"/>
        <v>1920</v>
      </c>
      <c r="O8" s="971">
        <f t="shared" si="6"/>
        <v>1920</v>
      </c>
      <c r="P8" s="971">
        <f t="shared" si="6"/>
        <v>1920</v>
      </c>
      <c r="Q8" s="971">
        <f t="shared" si="6"/>
        <v>1920</v>
      </c>
      <c r="R8" s="971">
        <f t="shared" si="6"/>
        <v>1920</v>
      </c>
      <c r="S8" s="971">
        <f t="shared" si="6"/>
        <v>1920</v>
      </c>
      <c r="T8" s="971">
        <f t="shared" si="6"/>
        <v>1920</v>
      </c>
      <c r="U8" s="971">
        <f t="shared" si="6"/>
        <v>1920</v>
      </c>
      <c r="V8" s="971">
        <f t="shared" si="6"/>
        <v>1920</v>
      </c>
      <c r="W8" s="971">
        <f t="shared" si="6"/>
        <v>1920</v>
      </c>
      <c r="X8" s="971" t="s">
        <v>1084</v>
      </c>
      <c r="Y8" s="971" t="s">
        <v>196</v>
      </c>
      <c r="Z8" s="35" t="s">
        <v>1085</v>
      </c>
      <c r="AA8" s="35" t="s">
        <v>1373</v>
      </c>
      <c r="AB8" s="971" t="s">
        <v>1084</v>
      </c>
      <c r="AC8" s="35" t="s">
        <v>1374</v>
      </c>
      <c r="AD8" s="990">
        <v>46017</v>
      </c>
      <c r="AE8" s="991">
        <v>46016</v>
      </c>
      <c r="AF8" s="971"/>
      <c r="AG8" s="990">
        <v>46034</v>
      </c>
      <c r="AH8" s="1288" t="s">
        <v>1102</v>
      </c>
      <c r="AI8" s="255" t="s">
        <v>1375</v>
      </c>
    </row>
    <row r="9" s="255" customFormat="1" ht="28.5" hidden="1" customHeight="1" spans="1:36">
      <c r="A9" s="971">
        <f t="shared" si="4"/>
        <v>6</v>
      </c>
      <c r="B9" s="35" t="s">
        <v>1095</v>
      </c>
      <c r="C9" s="971" t="s">
        <v>909</v>
      </c>
      <c r="D9" s="971" t="s">
        <v>1380</v>
      </c>
      <c r="E9" s="971"/>
      <c r="F9" s="989">
        <v>45924</v>
      </c>
      <c r="G9" s="989">
        <v>46021</v>
      </c>
      <c r="H9" s="989">
        <v>46021</v>
      </c>
      <c r="I9" s="989">
        <v>45961</v>
      </c>
      <c r="J9" s="971">
        <f t="shared" si="0"/>
        <v>20688</v>
      </c>
      <c r="K9" s="971">
        <v>4</v>
      </c>
      <c r="L9" s="971">
        <v>1724</v>
      </c>
      <c r="M9" s="971">
        <f t="shared" ref="M9:W9" si="7">L$9</f>
        <v>1724</v>
      </c>
      <c r="N9" s="971">
        <f t="shared" si="7"/>
        <v>1724</v>
      </c>
      <c r="O9" s="971">
        <f t="shared" si="7"/>
        <v>1724</v>
      </c>
      <c r="P9" s="971">
        <f t="shared" si="7"/>
        <v>1724</v>
      </c>
      <c r="Q9" s="971">
        <f t="shared" si="7"/>
        <v>1724</v>
      </c>
      <c r="R9" s="971">
        <f t="shared" si="7"/>
        <v>1724</v>
      </c>
      <c r="S9" s="971">
        <f t="shared" si="7"/>
        <v>1724</v>
      </c>
      <c r="T9" s="971">
        <f t="shared" si="7"/>
        <v>1724</v>
      </c>
      <c r="U9" s="971">
        <f t="shared" si="7"/>
        <v>1724</v>
      </c>
      <c r="V9" s="971">
        <f t="shared" si="7"/>
        <v>1724</v>
      </c>
      <c r="W9" s="971">
        <f t="shared" si="7"/>
        <v>1724</v>
      </c>
      <c r="X9" s="971" t="s">
        <v>1084</v>
      </c>
      <c r="Y9" s="971" t="s">
        <v>196</v>
      </c>
      <c r="Z9" s="35" t="s">
        <v>1085</v>
      </c>
      <c r="AA9" s="35" t="s">
        <v>1097</v>
      </c>
      <c r="AB9" s="971" t="s">
        <v>1084</v>
      </c>
      <c r="AC9" s="35" t="s">
        <v>1377</v>
      </c>
      <c r="AD9" s="990">
        <v>46019</v>
      </c>
      <c r="AE9" s="991">
        <v>46021</v>
      </c>
      <c r="AF9" s="35"/>
      <c r="AG9" s="990">
        <v>46034</v>
      </c>
      <c r="AH9" s="1288" t="s">
        <v>1381</v>
      </c>
      <c r="AI9" s="255" t="s">
        <v>1379</v>
      </c>
    </row>
    <row r="10" s="255" customFormat="1" ht="28.5" hidden="1" customHeight="1" spans="1:36">
      <c r="A10" s="971">
        <f t="shared" si="4"/>
        <v>7</v>
      </c>
      <c r="B10" s="35" t="s">
        <v>1095</v>
      </c>
      <c r="C10" s="971" t="s">
        <v>909</v>
      </c>
      <c r="D10" s="971" t="s">
        <v>1382</v>
      </c>
      <c r="E10" s="971"/>
      <c r="F10" s="989">
        <v>45924</v>
      </c>
      <c r="G10" s="989">
        <v>46021</v>
      </c>
      <c r="H10" s="989">
        <v>46021</v>
      </c>
      <c r="I10" s="989">
        <v>45961</v>
      </c>
      <c r="J10" s="971">
        <f t="shared" si="0"/>
        <v>19104</v>
      </c>
      <c r="K10" s="971">
        <v>4</v>
      </c>
      <c r="L10" s="971">
        <v>1592</v>
      </c>
      <c r="M10" s="971">
        <f t="shared" ref="M10:W10" si="8">L$10</f>
        <v>1592</v>
      </c>
      <c r="N10" s="971">
        <f t="shared" si="8"/>
        <v>1592</v>
      </c>
      <c r="O10" s="971">
        <f t="shared" si="8"/>
        <v>1592</v>
      </c>
      <c r="P10" s="971">
        <f t="shared" si="8"/>
        <v>1592</v>
      </c>
      <c r="Q10" s="971">
        <f t="shared" si="8"/>
        <v>1592</v>
      </c>
      <c r="R10" s="971">
        <f t="shared" si="8"/>
        <v>1592</v>
      </c>
      <c r="S10" s="971">
        <f t="shared" si="8"/>
        <v>1592</v>
      </c>
      <c r="T10" s="971">
        <f t="shared" si="8"/>
        <v>1592</v>
      </c>
      <c r="U10" s="971">
        <f t="shared" si="8"/>
        <v>1592</v>
      </c>
      <c r="V10" s="971">
        <f t="shared" si="8"/>
        <v>1592</v>
      </c>
      <c r="W10" s="971">
        <f t="shared" si="8"/>
        <v>1592</v>
      </c>
      <c r="X10" s="971" t="s">
        <v>1084</v>
      </c>
      <c r="Y10" s="971" t="s">
        <v>196</v>
      </c>
      <c r="Z10" s="35" t="s">
        <v>1085</v>
      </c>
      <c r="AA10" s="35" t="s">
        <v>1097</v>
      </c>
      <c r="AB10" s="971" t="s">
        <v>1084</v>
      </c>
      <c r="AC10" s="35" t="s">
        <v>1377</v>
      </c>
      <c r="AD10" s="990">
        <v>46019</v>
      </c>
      <c r="AE10" s="991">
        <v>46021</v>
      </c>
      <c r="AF10" s="971"/>
      <c r="AG10" s="990">
        <v>46027</v>
      </c>
      <c r="AH10" s="1288" t="s">
        <v>1383</v>
      </c>
      <c r="AI10" s="255" t="s">
        <v>1379</v>
      </c>
    </row>
    <row r="11" s="255" customFormat="1" ht="28.5" hidden="1" customHeight="1" spans="1:36">
      <c r="A11" s="971">
        <f t="shared" si="4"/>
        <v>8</v>
      </c>
      <c r="B11" s="35" t="s">
        <v>1095</v>
      </c>
      <c r="C11" s="971" t="s">
        <v>909</v>
      </c>
      <c r="D11" s="971" t="s">
        <v>1384</v>
      </c>
      <c r="E11" s="971"/>
      <c r="F11" s="989">
        <v>45924</v>
      </c>
      <c r="G11" s="989">
        <v>46024</v>
      </c>
      <c r="H11" s="989">
        <v>46024</v>
      </c>
      <c r="I11" s="989">
        <v>45961</v>
      </c>
      <c r="J11" s="971">
        <f t="shared" si="0"/>
        <v>24576</v>
      </c>
      <c r="K11" s="971">
        <v>4</v>
      </c>
      <c r="L11" s="971">
        <v>2048</v>
      </c>
      <c r="M11" s="971">
        <f t="shared" ref="M11:W11" si="9">L$11</f>
        <v>2048</v>
      </c>
      <c r="N11" s="971">
        <f t="shared" si="9"/>
        <v>2048</v>
      </c>
      <c r="O11" s="971">
        <f t="shared" si="9"/>
        <v>2048</v>
      </c>
      <c r="P11" s="971">
        <f t="shared" si="9"/>
        <v>2048</v>
      </c>
      <c r="Q11" s="971">
        <f t="shared" si="9"/>
        <v>2048</v>
      </c>
      <c r="R11" s="971">
        <f t="shared" si="9"/>
        <v>2048</v>
      </c>
      <c r="S11" s="971">
        <f t="shared" si="9"/>
        <v>2048</v>
      </c>
      <c r="T11" s="971">
        <f t="shared" si="9"/>
        <v>2048</v>
      </c>
      <c r="U11" s="971">
        <f t="shared" si="9"/>
        <v>2048</v>
      </c>
      <c r="V11" s="971">
        <f t="shared" si="9"/>
        <v>2048</v>
      </c>
      <c r="W11" s="971">
        <f t="shared" si="9"/>
        <v>2048</v>
      </c>
      <c r="X11" s="971" t="s">
        <v>1084</v>
      </c>
      <c r="Y11" s="971" t="s">
        <v>196</v>
      </c>
      <c r="Z11" s="35" t="s">
        <v>1085</v>
      </c>
      <c r="AA11" s="35" t="s">
        <v>1097</v>
      </c>
      <c r="AB11" s="971" t="s">
        <v>1084</v>
      </c>
      <c r="AC11" s="35" t="s">
        <v>1377</v>
      </c>
      <c r="AD11" s="990">
        <v>46021</v>
      </c>
      <c r="AE11" s="991">
        <v>46021</v>
      </c>
      <c r="AF11" s="35"/>
      <c r="AG11" s="990">
        <v>46026</v>
      </c>
      <c r="AH11" s="1288" t="s">
        <v>1385</v>
      </c>
      <c r="AI11" s="255" t="s">
        <v>1379</v>
      </c>
    </row>
    <row r="12" s="255" customFormat="1" ht="28.5" hidden="1" customHeight="1" spans="1:36">
      <c r="A12" s="971">
        <f t="shared" si="4"/>
        <v>9</v>
      </c>
      <c r="B12" s="35" t="s">
        <v>1095</v>
      </c>
      <c r="C12" s="971" t="s">
        <v>909</v>
      </c>
      <c r="D12" s="971" t="s">
        <v>1386</v>
      </c>
      <c r="E12" s="971"/>
      <c r="F12" s="989">
        <v>45924</v>
      </c>
      <c r="G12" s="989">
        <v>46027</v>
      </c>
      <c r="H12" s="989">
        <v>46027</v>
      </c>
      <c r="I12" s="989">
        <v>45961</v>
      </c>
      <c r="J12" s="971">
        <f t="shared" si="0"/>
        <v>28656</v>
      </c>
      <c r="K12" s="971">
        <v>4</v>
      </c>
      <c r="L12" s="971">
        <v>2388</v>
      </c>
      <c r="M12" s="971">
        <f t="shared" ref="M12:W12" si="10">L$12</f>
        <v>2388</v>
      </c>
      <c r="N12" s="971">
        <f t="shared" si="10"/>
        <v>2388</v>
      </c>
      <c r="O12" s="971">
        <f t="shared" si="10"/>
        <v>2388</v>
      </c>
      <c r="P12" s="971">
        <f t="shared" si="10"/>
        <v>2388</v>
      </c>
      <c r="Q12" s="971">
        <f t="shared" si="10"/>
        <v>2388</v>
      </c>
      <c r="R12" s="971">
        <f t="shared" si="10"/>
        <v>2388</v>
      </c>
      <c r="S12" s="971">
        <f t="shared" si="10"/>
        <v>2388</v>
      </c>
      <c r="T12" s="971">
        <f t="shared" si="10"/>
        <v>2388</v>
      </c>
      <c r="U12" s="971">
        <f t="shared" si="10"/>
        <v>2388</v>
      </c>
      <c r="V12" s="971">
        <f t="shared" si="10"/>
        <v>2388</v>
      </c>
      <c r="W12" s="971">
        <f t="shared" si="10"/>
        <v>2388</v>
      </c>
      <c r="X12" s="971" t="s">
        <v>1084</v>
      </c>
      <c r="Y12" s="971" t="s">
        <v>196</v>
      </c>
      <c r="Z12" s="35" t="s">
        <v>1085</v>
      </c>
      <c r="AA12" s="35" t="s">
        <v>1097</v>
      </c>
      <c r="AB12" s="971" t="s">
        <v>1084</v>
      </c>
      <c r="AC12" s="35" t="s">
        <v>1377</v>
      </c>
      <c r="AD12" s="990">
        <v>46025</v>
      </c>
      <c r="AE12" s="991">
        <v>46027</v>
      </c>
      <c r="AF12" s="35"/>
      <c r="AG12" s="990">
        <v>46036</v>
      </c>
      <c r="AH12" s="1288" t="s">
        <v>1387</v>
      </c>
      <c r="AI12" s="255" t="s">
        <v>1379</v>
      </c>
    </row>
    <row r="13" s="255" customFormat="1" ht="28.5" hidden="1" customHeight="1" spans="1:36">
      <c r="A13" s="971">
        <f t="shared" si="4"/>
        <v>10</v>
      </c>
      <c r="B13" s="971" t="s">
        <v>209</v>
      </c>
      <c r="C13" s="971" t="s">
        <v>909</v>
      </c>
      <c r="D13" s="971" t="s">
        <v>1111</v>
      </c>
      <c r="E13" s="971"/>
      <c r="F13" s="989">
        <v>45924</v>
      </c>
      <c r="G13" s="989">
        <v>46027</v>
      </c>
      <c r="H13" s="989">
        <v>46027</v>
      </c>
      <c r="I13" s="989">
        <v>45967</v>
      </c>
      <c r="J13" s="971">
        <f t="shared" si="0"/>
        <v>17280</v>
      </c>
      <c r="K13" s="971">
        <v>4</v>
      </c>
      <c r="L13" s="971">
        <v>1440</v>
      </c>
      <c r="M13" s="971">
        <f t="shared" ref="M13:W13" si="11">L$13</f>
        <v>1440</v>
      </c>
      <c r="N13" s="971">
        <f t="shared" si="11"/>
        <v>1440</v>
      </c>
      <c r="O13" s="971">
        <f t="shared" si="11"/>
        <v>1440</v>
      </c>
      <c r="P13" s="971">
        <f t="shared" si="11"/>
        <v>1440</v>
      </c>
      <c r="Q13" s="971">
        <f t="shared" si="11"/>
        <v>1440</v>
      </c>
      <c r="R13" s="971">
        <f t="shared" si="11"/>
        <v>1440</v>
      </c>
      <c r="S13" s="971">
        <f t="shared" si="11"/>
        <v>1440</v>
      </c>
      <c r="T13" s="971">
        <f t="shared" si="11"/>
        <v>1440</v>
      </c>
      <c r="U13" s="971">
        <f t="shared" si="11"/>
        <v>1440</v>
      </c>
      <c r="V13" s="971">
        <f t="shared" si="11"/>
        <v>1440</v>
      </c>
      <c r="W13" s="971">
        <f t="shared" si="11"/>
        <v>1440</v>
      </c>
      <c r="X13" s="971" t="s">
        <v>1084</v>
      </c>
      <c r="Y13" s="971" t="s">
        <v>196</v>
      </c>
      <c r="Z13" s="35" t="s">
        <v>1085</v>
      </c>
      <c r="AA13" s="35" t="s">
        <v>1373</v>
      </c>
      <c r="AB13" s="971" t="s">
        <v>1084</v>
      </c>
      <c r="AC13" s="35" t="s">
        <v>1374</v>
      </c>
      <c r="AD13" s="990">
        <v>46025</v>
      </c>
      <c r="AE13" s="991">
        <v>46027</v>
      </c>
      <c r="AF13" s="971"/>
      <c r="AG13" s="990">
        <v>46045</v>
      </c>
      <c r="AH13" s="1288" t="s">
        <v>1112</v>
      </c>
      <c r="AI13" s="255" t="s">
        <v>1375</v>
      </c>
    </row>
    <row r="14" s="255" customFormat="1" ht="28.5" hidden="1" customHeight="1" spans="1:36">
      <c r="A14" s="971">
        <f t="shared" si="4"/>
        <v>11</v>
      </c>
      <c r="B14" s="971" t="s">
        <v>209</v>
      </c>
      <c r="C14" s="971" t="s">
        <v>909</v>
      </c>
      <c r="D14" s="971" t="s">
        <v>1113</v>
      </c>
      <c r="E14" s="971"/>
      <c r="F14" s="989">
        <v>45924</v>
      </c>
      <c r="G14" s="989">
        <v>46029</v>
      </c>
      <c r="H14" s="989">
        <v>46029</v>
      </c>
      <c r="I14" s="989">
        <v>45967</v>
      </c>
      <c r="J14" s="971">
        <f t="shared" si="0"/>
        <v>17280</v>
      </c>
      <c r="K14" s="971">
        <v>4</v>
      </c>
      <c r="L14" s="971">
        <v>1440</v>
      </c>
      <c r="M14" s="971">
        <f t="shared" ref="M14:W14" si="12">L$14</f>
        <v>1440</v>
      </c>
      <c r="N14" s="971">
        <f t="shared" si="12"/>
        <v>1440</v>
      </c>
      <c r="O14" s="971">
        <f t="shared" si="12"/>
        <v>1440</v>
      </c>
      <c r="P14" s="971">
        <f t="shared" si="12"/>
        <v>1440</v>
      </c>
      <c r="Q14" s="971">
        <f t="shared" si="12"/>
        <v>1440</v>
      </c>
      <c r="R14" s="971">
        <f t="shared" si="12"/>
        <v>1440</v>
      </c>
      <c r="S14" s="971">
        <f t="shared" si="12"/>
        <v>1440</v>
      </c>
      <c r="T14" s="971">
        <f t="shared" si="12"/>
        <v>1440</v>
      </c>
      <c r="U14" s="971">
        <f t="shared" si="12"/>
        <v>1440</v>
      </c>
      <c r="V14" s="971">
        <f t="shared" si="12"/>
        <v>1440</v>
      </c>
      <c r="W14" s="971">
        <f t="shared" si="12"/>
        <v>1440</v>
      </c>
      <c r="X14" s="971" t="s">
        <v>1084</v>
      </c>
      <c r="Y14" s="971" t="s">
        <v>196</v>
      </c>
      <c r="Z14" s="35" t="s">
        <v>1085</v>
      </c>
      <c r="AA14" s="35" t="s">
        <v>1373</v>
      </c>
      <c r="AB14" s="971" t="s">
        <v>1084</v>
      </c>
      <c r="AC14" s="35" t="s">
        <v>1374</v>
      </c>
      <c r="AD14" s="990">
        <v>46027</v>
      </c>
      <c r="AE14" s="991">
        <v>46027</v>
      </c>
      <c r="AF14" s="971"/>
      <c r="AG14" s="990">
        <v>46039</v>
      </c>
      <c r="AH14" s="1288" t="s">
        <v>1114</v>
      </c>
      <c r="AI14" s="255" t="s">
        <v>1375</v>
      </c>
    </row>
    <row r="15" s="255" customFormat="1" ht="28.5" hidden="1" customHeight="1" spans="1:36">
      <c r="A15" s="971">
        <f t="shared" si="4"/>
        <v>12</v>
      </c>
      <c r="B15" s="35" t="s">
        <v>1095</v>
      </c>
      <c r="C15" s="971" t="s">
        <v>909</v>
      </c>
      <c r="D15" s="971" t="s">
        <v>1388</v>
      </c>
      <c r="E15" s="971"/>
      <c r="F15" s="989">
        <v>45924</v>
      </c>
      <c r="G15" s="989">
        <v>46034</v>
      </c>
      <c r="H15" s="989">
        <v>46034</v>
      </c>
      <c r="I15" s="989">
        <v>45961</v>
      </c>
      <c r="J15" s="971">
        <f t="shared" si="0"/>
        <v>19632</v>
      </c>
      <c r="K15" s="971">
        <v>4</v>
      </c>
      <c r="L15" s="971">
        <v>1636</v>
      </c>
      <c r="M15" s="971">
        <f t="shared" ref="M15:W15" si="13">L$15</f>
        <v>1636</v>
      </c>
      <c r="N15" s="971">
        <f t="shared" si="13"/>
        <v>1636</v>
      </c>
      <c r="O15" s="971">
        <f t="shared" si="13"/>
        <v>1636</v>
      </c>
      <c r="P15" s="971">
        <f t="shared" si="13"/>
        <v>1636</v>
      </c>
      <c r="Q15" s="971">
        <f t="shared" si="13"/>
        <v>1636</v>
      </c>
      <c r="R15" s="971">
        <f t="shared" si="13"/>
        <v>1636</v>
      </c>
      <c r="S15" s="971">
        <f t="shared" si="13"/>
        <v>1636</v>
      </c>
      <c r="T15" s="971">
        <f t="shared" si="13"/>
        <v>1636</v>
      </c>
      <c r="U15" s="971">
        <f t="shared" si="13"/>
        <v>1636</v>
      </c>
      <c r="V15" s="971">
        <f t="shared" si="13"/>
        <v>1636</v>
      </c>
      <c r="W15" s="971">
        <f t="shared" si="13"/>
        <v>1636</v>
      </c>
      <c r="X15" s="971" t="s">
        <v>1084</v>
      </c>
      <c r="Y15" s="971" t="s">
        <v>196</v>
      </c>
      <c r="Z15" s="35" t="s">
        <v>1085</v>
      </c>
      <c r="AA15" s="35" t="s">
        <v>1097</v>
      </c>
      <c r="AB15" s="971" t="s">
        <v>1084</v>
      </c>
      <c r="AC15" s="35" t="s">
        <v>1377</v>
      </c>
      <c r="AD15" s="990">
        <v>46032</v>
      </c>
      <c r="AE15" s="991">
        <v>46031</v>
      </c>
      <c r="AF15" s="35"/>
      <c r="AG15" s="990">
        <v>46046</v>
      </c>
      <c r="AH15" s="1288" t="s">
        <v>1389</v>
      </c>
      <c r="AI15" s="255" t="s">
        <v>1379</v>
      </c>
    </row>
    <row r="16" s="255" customFormat="1" ht="28.5" hidden="1" customHeight="1" spans="1:36">
      <c r="A16" s="971">
        <f t="shared" si="4"/>
        <v>13</v>
      </c>
      <c r="B16" s="35" t="s">
        <v>1095</v>
      </c>
      <c r="C16" s="971" t="s">
        <v>909</v>
      </c>
      <c r="D16" s="971" t="s">
        <v>1390</v>
      </c>
      <c r="E16" s="971"/>
      <c r="F16" s="989">
        <v>45924</v>
      </c>
      <c r="G16" s="989">
        <v>46037</v>
      </c>
      <c r="H16" s="989">
        <v>46037</v>
      </c>
      <c r="I16" s="989">
        <v>45961</v>
      </c>
      <c r="J16" s="971">
        <f t="shared" si="0"/>
        <v>18864</v>
      </c>
      <c r="K16" s="971">
        <v>4</v>
      </c>
      <c r="L16" s="971">
        <v>1572</v>
      </c>
      <c r="M16" s="971">
        <f t="shared" ref="M16:W16" si="14">L$16</f>
        <v>1572</v>
      </c>
      <c r="N16" s="971">
        <f t="shared" si="14"/>
        <v>1572</v>
      </c>
      <c r="O16" s="971">
        <f t="shared" si="14"/>
        <v>1572</v>
      </c>
      <c r="P16" s="971">
        <f t="shared" si="14"/>
        <v>1572</v>
      </c>
      <c r="Q16" s="971">
        <f t="shared" si="14"/>
        <v>1572</v>
      </c>
      <c r="R16" s="971">
        <f t="shared" si="14"/>
        <v>1572</v>
      </c>
      <c r="S16" s="971">
        <f t="shared" si="14"/>
        <v>1572</v>
      </c>
      <c r="T16" s="971">
        <f t="shared" si="14"/>
        <v>1572</v>
      </c>
      <c r="U16" s="971">
        <f t="shared" si="14"/>
        <v>1572</v>
      </c>
      <c r="V16" s="971">
        <f t="shared" si="14"/>
        <v>1572</v>
      </c>
      <c r="W16" s="971">
        <f t="shared" si="14"/>
        <v>1572</v>
      </c>
      <c r="X16" s="971" t="s">
        <v>1084</v>
      </c>
      <c r="Y16" s="971" t="s">
        <v>196</v>
      </c>
      <c r="Z16" s="35" t="s">
        <v>1085</v>
      </c>
      <c r="AA16" s="35" t="s">
        <v>1097</v>
      </c>
      <c r="AB16" s="971" t="s">
        <v>1084</v>
      </c>
      <c r="AC16" s="35" t="s">
        <v>1377</v>
      </c>
      <c r="AD16" s="990">
        <v>46035</v>
      </c>
      <c r="AE16" s="991">
        <v>46035</v>
      </c>
      <c r="AF16" s="971"/>
      <c r="AG16" s="990">
        <v>46046</v>
      </c>
      <c r="AH16" s="1288" t="s">
        <v>1391</v>
      </c>
      <c r="AI16" s="255" t="s">
        <v>1379</v>
      </c>
    </row>
    <row r="17" s="255" customFormat="1" ht="28.5" hidden="1" customHeight="1" spans="1:35">
      <c r="A17" s="971">
        <f t="shared" si="4"/>
        <v>14</v>
      </c>
      <c r="B17" s="35" t="s">
        <v>1069</v>
      </c>
      <c r="C17" s="971" t="s">
        <v>114</v>
      </c>
      <c r="D17" s="971" t="s">
        <v>1070</v>
      </c>
      <c r="E17" s="50" t="s">
        <v>1071</v>
      </c>
      <c r="F17" s="989">
        <v>46361</v>
      </c>
      <c r="G17" s="989">
        <v>46175</v>
      </c>
      <c r="H17" s="989">
        <v>46175</v>
      </c>
      <c r="I17" s="989">
        <v>46091</v>
      </c>
      <c r="J17" s="971">
        <f t="shared" ref="J17:J26" si="15">SUBTOTAL(9,L17:W17)</f>
        <v>0</v>
      </c>
      <c r="K17" s="971">
        <v>48</v>
      </c>
      <c r="L17" s="971">
        <v>600</v>
      </c>
      <c r="M17" s="971">
        <v>600</v>
      </c>
      <c r="N17" s="971">
        <v>600</v>
      </c>
      <c r="O17" s="971">
        <v>600</v>
      </c>
      <c r="P17" s="971">
        <v>600</v>
      </c>
      <c r="Q17" s="971">
        <v>600</v>
      </c>
      <c r="R17" s="971">
        <v>600</v>
      </c>
      <c r="S17" s="971">
        <v>600</v>
      </c>
      <c r="T17" s="971">
        <v>600</v>
      </c>
      <c r="U17" s="971">
        <v>600</v>
      </c>
      <c r="V17" s="971">
        <v>600</v>
      </c>
      <c r="W17" s="971">
        <v>600</v>
      </c>
      <c r="X17" s="971" t="s">
        <v>1135</v>
      </c>
      <c r="Y17" s="971" t="s">
        <v>196</v>
      </c>
      <c r="Z17" s="971" t="s">
        <v>1072</v>
      </c>
      <c r="AA17" s="971" t="s">
        <v>1072</v>
      </c>
      <c r="AB17" s="971" t="s">
        <v>1135</v>
      </c>
      <c r="AC17" s="35" t="s">
        <v>1392</v>
      </c>
      <c r="AD17" s="990">
        <v>46175</v>
      </c>
      <c r="AE17" s="992">
        <v>46177</v>
      </c>
      <c r="AF17" s="971"/>
      <c r="AG17" s="990">
        <v>46196</v>
      </c>
      <c r="AH17" s="971">
        <v>29556931</v>
      </c>
      <c r="AI17" s="255" t="s">
        <v>1379</v>
      </c>
    </row>
    <row r="18" s="255" customFormat="1" ht="28.5" hidden="1" customHeight="1" spans="1:35">
      <c r="A18" s="972">
        <f t="shared" si="4"/>
        <v>15</v>
      </c>
      <c r="B18" s="972" t="s">
        <v>1075</v>
      </c>
      <c r="C18" s="972"/>
      <c r="D18" s="972"/>
      <c r="E18" s="972"/>
      <c r="F18" s="972"/>
      <c r="G18" s="972"/>
      <c r="H18" s="972"/>
      <c r="I18" s="972"/>
      <c r="J18" s="972">
        <f t="shared" si="15"/>
        <v>0</v>
      </c>
      <c r="K18" s="972">
        <v>48</v>
      </c>
      <c r="L18" s="972">
        <v>20</v>
      </c>
      <c r="M18" s="972">
        <v>20</v>
      </c>
      <c r="N18" s="972">
        <v>20</v>
      </c>
      <c r="O18" s="972">
        <v>20</v>
      </c>
      <c r="P18" s="972">
        <v>20</v>
      </c>
      <c r="Q18" s="972">
        <v>20</v>
      </c>
      <c r="R18" s="972">
        <v>20</v>
      </c>
      <c r="S18" s="972">
        <v>20</v>
      </c>
      <c r="T18" s="972">
        <v>20</v>
      </c>
      <c r="U18" s="972">
        <v>20</v>
      </c>
      <c r="V18" s="972">
        <v>20</v>
      </c>
      <c r="W18" s="972">
        <v>20</v>
      </c>
      <c r="X18" s="993"/>
      <c r="Y18" s="972"/>
      <c r="Z18" s="972"/>
      <c r="AA18" s="972"/>
      <c r="AB18" s="972"/>
      <c r="AC18" s="972"/>
      <c r="AD18" s="993"/>
      <c r="AE18" s="972"/>
      <c r="AF18" s="972"/>
      <c r="AG18" s="994">
        <v>46122</v>
      </c>
      <c r="AH18" s="972"/>
    </row>
    <row r="19" s="255" customFormat="1" ht="32.1" hidden="1" customHeight="1" spans="1:35">
      <c r="A19" s="971">
        <f t="shared" ref="A19:A41" si="16">ROW()-3</f>
        <v>16</v>
      </c>
      <c r="B19" s="35" t="s">
        <v>209</v>
      </c>
      <c r="C19" s="971" t="s">
        <v>909</v>
      </c>
      <c r="D19" s="970" t="s">
        <v>1139</v>
      </c>
      <c r="E19" s="971" t="s">
        <v>1140</v>
      </c>
      <c r="F19" s="989">
        <v>46120</v>
      </c>
      <c r="G19" s="989">
        <v>46189</v>
      </c>
      <c r="H19" s="989">
        <v>46189</v>
      </c>
      <c r="I19" s="989">
        <v>46135</v>
      </c>
      <c r="J19" s="971">
        <f t="shared" si="15"/>
        <v>0</v>
      </c>
      <c r="K19" s="971">
        <v>48</v>
      </c>
      <c r="L19" s="971">
        <v>960</v>
      </c>
      <c r="M19" s="971">
        <v>960</v>
      </c>
      <c r="N19" s="971">
        <v>960</v>
      </c>
      <c r="O19" s="971">
        <v>960</v>
      </c>
      <c r="P19" s="971">
        <v>960</v>
      </c>
      <c r="Q19" s="971">
        <v>960</v>
      </c>
      <c r="R19" s="971">
        <v>960</v>
      </c>
      <c r="S19" s="971">
        <v>960</v>
      </c>
      <c r="T19" s="971">
        <v>960</v>
      </c>
      <c r="U19" s="971">
        <v>960</v>
      </c>
      <c r="V19" s="971">
        <v>960</v>
      </c>
      <c r="W19" s="971">
        <v>960</v>
      </c>
      <c r="X19" s="971" t="s">
        <v>1135</v>
      </c>
      <c r="Y19" s="971" t="s">
        <v>196</v>
      </c>
      <c r="Z19" s="971" t="s">
        <v>1072</v>
      </c>
      <c r="AA19" s="971" t="s">
        <v>1393</v>
      </c>
      <c r="AB19" s="971" t="s">
        <v>1135</v>
      </c>
      <c r="AC19" s="35" t="s">
        <v>1374</v>
      </c>
      <c r="AD19" s="990">
        <v>46189</v>
      </c>
      <c r="AE19" s="992">
        <v>46185</v>
      </c>
      <c r="AF19" s="971"/>
      <c r="AG19" s="807">
        <v>46217</v>
      </c>
      <c r="AH19" s="1289" t="s">
        <v>1142</v>
      </c>
      <c r="AI19" s="255" t="s">
        <v>1375</v>
      </c>
    </row>
    <row r="20" s="255" customFormat="1" ht="28.5" hidden="1" customHeight="1" spans="1:35">
      <c r="A20" s="971">
        <f t="shared" si="16"/>
        <v>17</v>
      </c>
      <c r="B20" s="35" t="s">
        <v>209</v>
      </c>
      <c r="C20" s="971" t="s">
        <v>909</v>
      </c>
      <c r="D20" s="970" t="s">
        <v>1143</v>
      </c>
      <c r="E20" s="971" t="s">
        <v>1144</v>
      </c>
      <c r="F20" s="989">
        <v>46120</v>
      </c>
      <c r="G20" s="989">
        <v>46189</v>
      </c>
      <c r="H20" s="989">
        <v>46189</v>
      </c>
      <c r="I20" s="989">
        <v>46135</v>
      </c>
      <c r="J20" s="971">
        <f t="shared" si="15"/>
        <v>0</v>
      </c>
      <c r="K20" s="971">
        <v>48</v>
      </c>
      <c r="L20" s="971">
        <v>1440</v>
      </c>
      <c r="M20" s="971">
        <v>1440</v>
      </c>
      <c r="N20" s="971">
        <v>1440</v>
      </c>
      <c r="O20" s="971">
        <v>1440</v>
      </c>
      <c r="P20" s="971">
        <v>1440</v>
      </c>
      <c r="Q20" s="971">
        <v>1440</v>
      </c>
      <c r="R20" s="971">
        <v>1440</v>
      </c>
      <c r="S20" s="971">
        <v>1440</v>
      </c>
      <c r="T20" s="971">
        <v>1440</v>
      </c>
      <c r="U20" s="971">
        <v>1440</v>
      </c>
      <c r="V20" s="971">
        <v>1440</v>
      </c>
      <c r="W20" s="971">
        <v>1440</v>
      </c>
      <c r="X20" s="971" t="s">
        <v>1135</v>
      </c>
      <c r="Y20" s="971" t="s">
        <v>196</v>
      </c>
      <c r="Z20" s="971" t="s">
        <v>1072</v>
      </c>
      <c r="AA20" s="971" t="s">
        <v>1393</v>
      </c>
      <c r="AB20" s="971" t="s">
        <v>1135</v>
      </c>
      <c r="AC20" s="35" t="s">
        <v>1374</v>
      </c>
      <c r="AD20" s="990">
        <v>46189</v>
      </c>
      <c r="AE20" s="992">
        <v>46185</v>
      </c>
      <c r="AF20" s="971"/>
      <c r="AG20" s="807">
        <v>46207</v>
      </c>
      <c r="AH20" s="1289" t="s">
        <v>1145</v>
      </c>
      <c r="AI20" s="255" t="s">
        <v>1375</v>
      </c>
    </row>
    <row r="21" s="255" customFormat="1" ht="28.5" hidden="1" customHeight="1" spans="1:35">
      <c r="A21" s="971">
        <f t="shared" si="16"/>
        <v>18</v>
      </c>
      <c r="B21" s="35" t="s">
        <v>209</v>
      </c>
      <c r="C21" s="971" t="s">
        <v>909</v>
      </c>
      <c r="D21" s="970" t="s">
        <v>1146</v>
      </c>
      <c r="E21" s="971" t="s">
        <v>1147</v>
      </c>
      <c r="F21" s="989">
        <v>46120</v>
      </c>
      <c r="G21" s="989">
        <v>46189</v>
      </c>
      <c r="H21" s="989">
        <v>46189</v>
      </c>
      <c r="I21" s="989">
        <v>46135</v>
      </c>
      <c r="J21" s="971">
        <f t="shared" si="15"/>
        <v>0</v>
      </c>
      <c r="K21" s="971">
        <v>48</v>
      </c>
      <c r="L21" s="971">
        <v>1920</v>
      </c>
      <c r="M21" s="971">
        <v>1920</v>
      </c>
      <c r="N21" s="971">
        <v>1920</v>
      </c>
      <c r="O21" s="971">
        <v>1920</v>
      </c>
      <c r="P21" s="971">
        <v>1920</v>
      </c>
      <c r="Q21" s="971">
        <v>1920</v>
      </c>
      <c r="R21" s="971">
        <v>1920</v>
      </c>
      <c r="S21" s="971">
        <v>1920</v>
      </c>
      <c r="T21" s="971">
        <v>1920</v>
      </c>
      <c r="U21" s="971">
        <v>1920</v>
      </c>
      <c r="V21" s="971">
        <v>1920</v>
      </c>
      <c r="W21" s="971">
        <v>1920</v>
      </c>
      <c r="X21" s="971" t="s">
        <v>1135</v>
      </c>
      <c r="Y21" s="971" t="s">
        <v>196</v>
      </c>
      <c r="Z21" s="971" t="s">
        <v>1072</v>
      </c>
      <c r="AA21" s="971" t="s">
        <v>1393</v>
      </c>
      <c r="AB21" s="971" t="s">
        <v>1135</v>
      </c>
      <c r="AC21" s="35" t="s">
        <v>1374</v>
      </c>
      <c r="AD21" s="990">
        <v>46189</v>
      </c>
      <c r="AE21" s="992">
        <v>46185</v>
      </c>
      <c r="AF21" s="971"/>
      <c r="AG21" s="807">
        <v>46217</v>
      </c>
      <c r="AH21" s="1289" t="s">
        <v>1148</v>
      </c>
      <c r="AI21" s="255" t="s">
        <v>1375</v>
      </c>
    </row>
    <row r="22" s="255" customFormat="1" ht="28.5" hidden="1" customHeight="1" spans="1:35">
      <c r="A22" s="971">
        <f t="shared" si="16"/>
        <v>19</v>
      </c>
      <c r="B22" s="35" t="s">
        <v>209</v>
      </c>
      <c r="C22" s="971" t="s">
        <v>909</v>
      </c>
      <c r="D22" s="970" t="s">
        <v>1149</v>
      </c>
      <c r="E22" s="971" t="s">
        <v>1150</v>
      </c>
      <c r="F22" s="989">
        <v>46120</v>
      </c>
      <c r="G22" s="989">
        <v>46189</v>
      </c>
      <c r="H22" s="989">
        <v>46189</v>
      </c>
      <c r="I22" s="989">
        <v>46135</v>
      </c>
      <c r="J22" s="971">
        <f t="shared" si="15"/>
        <v>0</v>
      </c>
      <c r="K22" s="971">
        <v>48</v>
      </c>
      <c r="L22" s="971">
        <v>960</v>
      </c>
      <c r="M22" s="971">
        <v>960</v>
      </c>
      <c r="N22" s="971">
        <v>960</v>
      </c>
      <c r="O22" s="971">
        <v>960</v>
      </c>
      <c r="P22" s="971">
        <v>960</v>
      </c>
      <c r="Q22" s="971">
        <v>960</v>
      </c>
      <c r="R22" s="971">
        <v>960</v>
      </c>
      <c r="S22" s="971">
        <v>960</v>
      </c>
      <c r="T22" s="971">
        <v>960</v>
      </c>
      <c r="U22" s="971">
        <v>960</v>
      </c>
      <c r="V22" s="971">
        <v>960</v>
      </c>
      <c r="W22" s="971">
        <v>960</v>
      </c>
      <c r="X22" s="971" t="s">
        <v>1135</v>
      </c>
      <c r="Y22" s="971" t="s">
        <v>196</v>
      </c>
      <c r="Z22" s="971" t="s">
        <v>1072</v>
      </c>
      <c r="AA22" s="971" t="s">
        <v>1393</v>
      </c>
      <c r="AB22" s="971" t="s">
        <v>1135</v>
      </c>
      <c r="AC22" s="35" t="s">
        <v>1374</v>
      </c>
      <c r="AD22" s="990">
        <v>46189</v>
      </c>
      <c r="AE22" s="992">
        <v>46191</v>
      </c>
      <c r="AF22" s="971"/>
      <c r="AG22" s="807">
        <v>46210</v>
      </c>
      <c r="AH22" s="1289" t="s">
        <v>1151</v>
      </c>
      <c r="AI22" s="255" t="s">
        <v>1375</v>
      </c>
    </row>
    <row r="23" s="255" customFormat="1" ht="28.5" hidden="1" customHeight="1" spans="1:35">
      <c r="A23" s="971">
        <f t="shared" si="16"/>
        <v>20</v>
      </c>
      <c r="B23" s="35" t="s">
        <v>209</v>
      </c>
      <c r="C23" s="971" t="s">
        <v>909</v>
      </c>
      <c r="D23" s="970" t="s">
        <v>1152</v>
      </c>
      <c r="E23" s="971" t="s">
        <v>1153</v>
      </c>
      <c r="F23" s="989">
        <v>46120</v>
      </c>
      <c r="G23" s="989">
        <v>46189</v>
      </c>
      <c r="H23" s="989">
        <v>46189</v>
      </c>
      <c r="I23" s="989">
        <v>46135</v>
      </c>
      <c r="J23" s="971">
        <f t="shared" si="15"/>
        <v>0</v>
      </c>
      <c r="K23" s="971">
        <v>48</v>
      </c>
      <c r="L23" s="971">
        <v>1440</v>
      </c>
      <c r="M23" s="971">
        <v>1440</v>
      </c>
      <c r="N23" s="971">
        <v>1440</v>
      </c>
      <c r="O23" s="971">
        <v>1440</v>
      </c>
      <c r="P23" s="971">
        <v>1440</v>
      </c>
      <c r="Q23" s="971">
        <v>1440</v>
      </c>
      <c r="R23" s="971">
        <v>1440</v>
      </c>
      <c r="S23" s="971">
        <v>1440</v>
      </c>
      <c r="T23" s="971">
        <v>1440</v>
      </c>
      <c r="U23" s="971">
        <v>1440</v>
      </c>
      <c r="V23" s="971">
        <v>1440</v>
      </c>
      <c r="W23" s="971">
        <v>1440</v>
      </c>
      <c r="X23" s="971" t="s">
        <v>1135</v>
      </c>
      <c r="Y23" s="971" t="s">
        <v>196</v>
      </c>
      <c r="Z23" s="971" t="s">
        <v>1072</v>
      </c>
      <c r="AA23" s="971" t="s">
        <v>1393</v>
      </c>
      <c r="AB23" s="971" t="s">
        <v>1135</v>
      </c>
      <c r="AC23" s="35" t="s">
        <v>1374</v>
      </c>
      <c r="AD23" s="990">
        <v>46189</v>
      </c>
      <c r="AE23" s="992">
        <v>46191</v>
      </c>
      <c r="AF23" s="971"/>
      <c r="AG23" s="807">
        <v>46207</v>
      </c>
      <c r="AH23" s="1289" t="s">
        <v>1154</v>
      </c>
      <c r="AI23" s="255" t="s">
        <v>1375</v>
      </c>
    </row>
    <row r="24" s="255" customFormat="1" ht="28.5" hidden="1" customHeight="1" spans="1:35">
      <c r="A24" s="971">
        <f t="shared" si="16"/>
        <v>21</v>
      </c>
      <c r="B24" s="35" t="s">
        <v>209</v>
      </c>
      <c r="C24" s="971" t="s">
        <v>909</v>
      </c>
      <c r="D24" s="970" t="s">
        <v>1394</v>
      </c>
      <c r="E24" s="971" t="s">
        <v>1395</v>
      </c>
      <c r="F24" s="989">
        <v>46120</v>
      </c>
      <c r="G24" s="989">
        <v>46189</v>
      </c>
      <c r="H24" s="989">
        <v>46189</v>
      </c>
      <c r="I24" s="989">
        <v>46135</v>
      </c>
      <c r="J24" s="971">
        <f t="shared" si="15"/>
        <v>0</v>
      </c>
      <c r="K24" s="971">
        <v>48</v>
      </c>
      <c r="L24" s="971">
        <v>1440</v>
      </c>
      <c r="M24" s="971">
        <v>1440</v>
      </c>
      <c r="N24" s="971">
        <v>1440</v>
      </c>
      <c r="O24" s="971">
        <v>1440</v>
      </c>
      <c r="P24" s="971">
        <v>1440</v>
      </c>
      <c r="Q24" s="971">
        <v>1440</v>
      </c>
      <c r="R24" s="971">
        <v>1440</v>
      </c>
      <c r="S24" s="971">
        <v>1440</v>
      </c>
      <c r="T24" s="971">
        <v>1440</v>
      </c>
      <c r="U24" s="971">
        <v>1440</v>
      </c>
      <c r="V24" s="971">
        <v>1440</v>
      </c>
      <c r="W24" s="971">
        <v>1440</v>
      </c>
      <c r="X24" s="971" t="s">
        <v>1135</v>
      </c>
      <c r="Y24" s="971" t="s">
        <v>196</v>
      </c>
      <c r="Z24" s="971" t="s">
        <v>1072</v>
      </c>
      <c r="AA24" s="971" t="s">
        <v>1393</v>
      </c>
      <c r="AB24" s="971" t="s">
        <v>1135</v>
      </c>
      <c r="AC24" s="35" t="s">
        <v>1374</v>
      </c>
      <c r="AD24" s="990">
        <v>46189</v>
      </c>
      <c r="AE24" s="995">
        <v>46191</v>
      </c>
      <c r="AF24" s="971"/>
      <c r="AG24" s="807">
        <v>46217</v>
      </c>
      <c r="AH24" s="1289" t="s">
        <v>1156</v>
      </c>
      <c r="AI24" s="255" t="s">
        <v>1375</v>
      </c>
    </row>
    <row r="25" s="255" customFormat="1" ht="28.5" hidden="1" customHeight="1" spans="1:35">
      <c r="A25" s="971">
        <f t="shared" si="16"/>
        <v>22</v>
      </c>
      <c r="B25" s="35" t="s">
        <v>209</v>
      </c>
      <c r="C25" s="971" t="s">
        <v>909</v>
      </c>
      <c r="D25" s="970" t="s">
        <v>1157</v>
      </c>
      <c r="E25" s="971" t="s">
        <v>1396</v>
      </c>
      <c r="F25" s="989">
        <v>46120</v>
      </c>
      <c r="G25" s="989">
        <v>46189</v>
      </c>
      <c r="H25" s="989">
        <v>46189</v>
      </c>
      <c r="I25" s="989">
        <v>46135</v>
      </c>
      <c r="J25" s="971">
        <f t="shared" si="15"/>
        <v>0</v>
      </c>
      <c r="K25" s="971">
        <v>48</v>
      </c>
      <c r="L25" s="971">
        <v>1440</v>
      </c>
      <c r="M25" s="971">
        <v>1440</v>
      </c>
      <c r="N25" s="971">
        <v>1440</v>
      </c>
      <c r="O25" s="971">
        <v>1440</v>
      </c>
      <c r="P25" s="971">
        <v>1440</v>
      </c>
      <c r="Q25" s="971">
        <v>1440</v>
      </c>
      <c r="R25" s="971">
        <v>1440</v>
      </c>
      <c r="S25" s="971">
        <v>1440</v>
      </c>
      <c r="T25" s="971">
        <v>1440</v>
      </c>
      <c r="U25" s="971">
        <v>1440</v>
      </c>
      <c r="V25" s="971">
        <v>1440</v>
      </c>
      <c r="W25" s="971">
        <v>1440</v>
      </c>
      <c r="X25" s="971" t="s">
        <v>1135</v>
      </c>
      <c r="Y25" s="971" t="s">
        <v>196</v>
      </c>
      <c r="Z25" s="971" t="s">
        <v>1072</v>
      </c>
      <c r="AA25" s="971" t="s">
        <v>1393</v>
      </c>
      <c r="AB25" s="971" t="s">
        <v>1135</v>
      </c>
      <c r="AC25" s="35" t="s">
        <v>1374</v>
      </c>
      <c r="AD25" s="990">
        <v>46189</v>
      </c>
      <c r="AE25" s="995">
        <v>46191</v>
      </c>
      <c r="AF25" s="971"/>
      <c r="AG25" s="807">
        <v>46217</v>
      </c>
      <c r="AH25" s="1289" t="s">
        <v>1158</v>
      </c>
      <c r="AI25" s="255" t="s">
        <v>1375</v>
      </c>
    </row>
    <row r="26" s="255" customFormat="1" ht="28.5" hidden="1" customHeight="1" spans="1:35">
      <c r="A26" s="971">
        <f t="shared" si="16"/>
        <v>23</v>
      </c>
      <c r="B26" s="35" t="s">
        <v>209</v>
      </c>
      <c r="C26" s="971" t="s">
        <v>909</v>
      </c>
      <c r="D26" s="970" t="s">
        <v>1397</v>
      </c>
      <c r="E26" s="971" t="s">
        <v>1398</v>
      </c>
      <c r="F26" s="989">
        <v>46135</v>
      </c>
      <c r="G26" s="989">
        <v>46203</v>
      </c>
      <c r="H26" s="989">
        <v>46203</v>
      </c>
      <c r="I26" s="989">
        <v>46149</v>
      </c>
      <c r="J26" s="971">
        <f t="shared" si="15"/>
        <v>0</v>
      </c>
      <c r="K26" s="971">
        <v>48</v>
      </c>
      <c r="L26" s="971">
        <v>2400</v>
      </c>
      <c r="M26" s="971">
        <v>2400</v>
      </c>
      <c r="N26" s="971">
        <v>2400</v>
      </c>
      <c r="O26" s="971">
        <v>2400</v>
      </c>
      <c r="P26" s="971">
        <v>2400</v>
      </c>
      <c r="Q26" s="971">
        <v>2400</v>
      </c>
      <c r="R26" s="971">
        <v>2400</v>
      </c>
      <c r="S26" s="971">
        <v>2400</v>
      </c>
      <c r="T26" s="971">
        <v>2400</v>
      </c>
      <c r="U26" s="971">
        <v>2400</v>
      </c>
      <c r="V26" s="971">
        <v>2400</v>
      </c>
      <c r="W26" s="971">
        <v>2400</v>
      </c>
      <c r="X26" s="971" t="s">
        <v>1399</v>
      </c>
      <c r="Y26" s="971" t="s">
        <v>196</v>
      </c>
      <c r="Z26" s="971" t="s">
        <v>1141</v>
      </c>
      <c r="AA26" s="971" t="s">
        <v>168</v>
      </c>
      <c r="AB26" s="971" t="s">
        <v>1399</v>
      </c>
      <c r="AC26" s="996" t="s">
        <v>1400</v>
      </c>
      <c r="AD26" s="997">
        <v>46234</v>
      </c>
      <c r="AE26" s="992">
        <v>46205</v>
      </c>
      <c r="AF26" s="971"/>
      <c r="AG26" s="807">
        <v>46277</v>
      </c>
      <c r="AH26" s="1289" t="s">
        <v>1401</v>
      </c>
      <c r="AI26" s="998" t="s">
        <v>1379</v>
      </c>
    </row>
    <row r="27" s="255" customFormat="1" ht="28.5" hidden="1" customHeight="1" spans="1:35">
      <c r="A27" s="971">
        <f t="shared" si="16"/>
        <v>24</v>
      </c>
      <c r="B27" s="35" t="s">
        <v>209</v>
      </c>
      <c r="C27" s="971" t="s">
        <v>909</v>
      </c>
      <c r="D27" s="970" t="s">
        <v>1402</v>
      </c>
      <c r="E27" s="971" t="s">
        <v>1403</v>
      </c>
      <c r="F27" s="989">
        <v>46135</v>
      </c>
      <c r="G27" s="989">
        <v>46203</v>
      </c>
      <c r="H27" s="989">
        <v>46203</v>
      </c>
      <c r="I27" s="989">
        <v>46149</v>
      </c>
      <c r="J27" s="971">
        <f t="shared" ref="J27:J70" si="17">SUBTOTAL(9,L27:W27)</f>
        <v>0</v>
      </c>
      <c r="K27" s="971">
        <v>48</v>
      </c>
      <c r="L27" s="971">
        <v>2400</v>
      </c>
      <c r="M27" s="971">
        <v>2400</v>
      </c>
      <c r="N27" s="971">
        <v>2400</v>
      </c>
      <c r="O27" s="971">
        <v>2400</v>
      </c>
      <c r="P27" s="971">
        <v>2400</v>
      </c>
      <c r="Q27" s="971">
        <v>2400</v>
      </c>
      <c r="R27" s="971">
        <v>2400</v>
      </c>
      <c r="S27" s="971">
        <v>2400</v>
      </c>
      <c r="T27" s="971">
        <v>2400</v>
      </c>
      <c r="U27" s="971">
        <v>2400</v>
      </c>
      <c r="V27" s="971">
        <v>2400</v>
      </c>
      <c r="W27" s="971">
        <v>2400</v>
      </c>
      <c r="X27" s="971" t="s">
        <v>1399</v>
      </c>
      <c r="Y27" s="971" t="s">
        <v>196</v>
      </c>
      <c r="Z27" s="971" t="s">
        <v>1141</v>
      </c>
      <c r="AA27" s="971" t="s">
        <v>168</v>
      </c>
      <c r="AB27" s="971" t="s">
        <v>1399</v>
      </c>
      <c r="AC27" s="35" t="s">
        <v>1374</v>
      </c>
      <c r="AD27" s="990">
        <v>46203</v>
      </c>
      <c r="AE27" s="992">
        <v>46205</v>
      </c>
      <c r="AF27" s="971"/>
      <c r="AG27" s="807">
        <v>46223</v>
      </c>
      <c r="AH27" s="1289" t="s">
        <v>1404</v>
      </c>
      <c r="AI27" s="255" t="s">
        <v>1375</v>
      </c>
    </row>
    <row r="28" s="255" customFormat="1" ht="28.5" hidden="1" customHeight="1" spans="1:35">
      <c r="A28" s="971">
        <f t="shared" si="16"/>
        <v>25</v>
      </c>
      <c r="B28" s="35" t="s">
        <v>209</v>
      </c>
      <c r="C28" s="971" t="s">
        <v>909</v>
      </c>
      <c r="D28" s="970" t="s">
        <v>1181</v>
      </c>
      <c r="E28" s="971" t="s">
        <v>1182</v>
      </c>
      <c r="F28" s="989">
        <v>46135</v>
      </c>
      <c r="G28" s="989">
        <v>46203</v>
      </c>
      <c r="H28" s="989">
        <v>46203</v>
      </c>
      <c r="I28" s="989">
        <v>46149</v>
      </c>
      <c r="J28" s="971">
        <f t="shared" si="17"/>
        <v>0</v>
      </c>
      <c r="K28" s="971">
        <v>48</v>
      </c>
      <c r="L28" s="971">
        <v>2880</v>
      </c>
      <c r="M28" s="971">
        <v>2880</v>
      </c>
      <c r="N28" s="971">
        <v>2880</v>
      </c>
      <c r="O28" s="971">
        <v>2880</v>
      </c>
      <c r="P28" s="971">
        <v>2880</v>
      </c>
      <c r="Q28" s="971">
        <v>2880</v>
      </c>
      <c r="R28" s="971">
        <v>2880</v>
      </c>
      <c r="S28" s="971">
        <v>2880</v>
      </c>
      <c r="T28" s="971">
        <v>2880</v>
      </c>
      <c r="U28" s="971">
        <v>2880</v>
      </c>
      <c r="V28" s="971">
        <v>2880</v>
      </c>
      <c r="W28" s="971">
        <v>2880</v>
      </c>
      <c r="X28" s="971" t="s">
        <v>1399</v>
      </c>
      <c r="Y28" s="971" t="s">
        <v>196</v>
      </c>
      <c r="Z28" s="971" t="s">
        <v>1141</v>
      </c>
      <c r="AA28" s="971" t="s">
        <v>168</v>
      </c>
      <c r="AB28" s="971" t="s">
        <v>1399</v>
      </c>
      <c r="AC28" s="35" t="s">
        <v>1374</v>
      </c>
      <c r="AD28" s="990">
        <v>46203</v>
      </c>
      <c r="AE28" s="992">
        <v>46205</v>
      </c>
      <c r="AF28" s="971"/>
      <c r="AG28" s="807">
        <v>46217</v>
      </c>
      <c r="AH28" s="1289" t="s">
        <v>1185</v>
      </c>
      <c r="AI28" s="255" t="s">
        <v>1375</v>
      </c>
    </row>
    <row r="29" s="255" customFormat="1" ht="28.5" hidden="1" customHeight="1" spans="1:35">
      <c r="A29" s="971">
        <f t="shared" si="16"/>
        <v>26</v>
      </c>
      <c r="B29" s="35" t="s">
        <v>209</v>
      </c>
      <c r="C29" s="971" t="s">
        <v>909</v>
      </c>
      <c r="D29" s="970" t="s">
        <v>1405</v>
      </c>
      <c r="E29" s="971" t="s">
        <v>1406</v>
      </c>
      <c r="F29" s="989">
        <v>46135</v>
      </c>
      <c r="G29" s="989">
        <v>46203</v>
      </c>
      <c r="H29" s="989">
        <v>46203</v>
      </c>
      <c r="I29" s="989">
        <v>46149</v>
      </c>
      <c r="J29" s="971">
        <f t="shared" si="17"/>
        <v>0</v>
      </c>
      <c r="K29" s="971">
        <v>48</v>
      </c>
      <c r="L29" s="971">
        <v>3840</v>
      </c>
      <c r="M29" s="971">
        <v>3840</v>
      </c>
      <c r="N29" s="971">
        <v>3840</v>
      </c>
      <c r="O29" s="971">
        <v>3840</v>
      </c>
      <c r="P29" s="971">
        <v>3840</v>
      </c>
      <c r="Q29" s="971">
        <v>3840</v>
      </c>
      <c r="R29" s="971">
        <v>3840</v>
      </c>
      <c r="S29" s="971">
        <v>3840</v>
      </c>
      <c r="T29" s="971">
        <v>3840</v>
      </c>
      <c r="U29" s="971">
        <v>3840</v>
      </c>
      <c r="V29" s="971">
        <v>3840</v>
      </c>
      <c r="W29" s="971">
        <v>3840</v>
      </c>
      <c r="X29" s="971" t="s">
        <v>1399</v>
      </c>
      <c r="Y29" s="971" t="s">
        <v>196</v>
      </c>
      <c r="Z29" s="971" t="s">
        <v>1141</v>
      </c>
      <c r="AA29" s="971" t="s">
        <v>168</v>
      </c>
      <c r="AB29" s="971" t="s">
        <v>1399</v>
      </c>
      <c r="AC29" s="35" t="s">
        <v>1374</v>
      </c>
      <c r="AD29" s="990">
        <v>46203</v>
      </c>
      <c r="AE29" s="992">
        <v>46205</v>
      </c>
      <c r="AF29" s="971"/>
      <c r="AG29" s="807">
        <v>46223</v>
      </c>
      <c r="AH29" s="1289" t="s">
        <v>1407</v>
      </c>
      <c r="AI29" s="255" t="s">
        <v>1375</v>
      </c>
    </row>
    <row r="30" s="255" customFormat="1" ht="28.5" hidden="1" customHeight="1" spans="1:35">
      <c r="A30" s="971">
        <f t="shared" si="16"/>
        <v>27</v>
      </c>
      <c r="B30" s="35" t="s">
        <v>209</v>
      </c>
      <c r="C30" s="971" t="s">
        <v>909</v>
      </c>
      <c r="D30" s="970" t="s">
        <v>1186</v>
      </c>
      <c r="E30" s="971" t="s">
        <v>1187</v>
      </c>
      <c r="F30" s="989">
        <v>46135</v>
      </c>
      <c r="G30" s="989">
        <v>46203</v>
      </c>
      <c r="H30" s="989">
        <v>46203</v>
      </c>
      <c r="I30" s="989">
        <v>46149</v>
      </c>
      <c r="J30" s="971">
        <f t="shared" si="17"/>
        <v>0</v>
      </c>
      <c r="K30" s="971">
        <v>48</v>
      </c>
      <c r="L30" s="971">
        <v>4320</v>
      </c>
      <c r="M30" s="971">
        <v>4320</v>
      </c>
      <c r="N30" s="971">
        <v>4320</v>
      </c>
      <c r="O30" s="971">
        <v>4320</v>
      </c>
      <c r="P30" s="971">
        <v>4320</v>
      </c>
      <c r="Q30" s="971">
        <v>4320</v>
      </c>
      <c r="R30" s="971">
        <v>4320</v>
      </c>
      <c r="S30" s="971">
        <v>4320</v>
      </c>
      <c r="T30" s="971">
        <v>4320</v>
      </c>
      <c r="U30" s="971">
        <v>4320</v>
      </c>
      <c r="V30" s="971">
        <v>4320</v>
      </c>
      <c r="W30" s="971">
        <v>4320</v>
      </c>
      <c r="X30" s="971" t="s">
        <v>1399</v>
      </c>
      <c r="Y30" s="971" t="s">
        <v>196</v>
      </c>
      <c r="Z30" s="971" t="s">
        <v>1141</v>
      </c>
      <c r="AA30" s="971" t="s">
        <v>168</v>
      </c>
      <c r="AB30" s="971" t="s">
        <v>1399</v>
      </c>
      <c r="AC30" s="35" t="s">
        <v>1374</v>
      </c>
      <c r="AD30" s="990">
        <v>46203</v>
      </c>
      <c r="AE30" s="992">
        <v>46205</v>
      </c>
      <c r="AF30" s="971"/>
      <c r="AG30" s="807">
        <v>46220</v>
      </c>
      <c r="AH30" s="1289" t="s">
        <v>1188</v>
      </c>
      <c r="AI30" s="255" t="s">
        <v>1375</v>
      </c>
    </row>
    <row r="31" s="255" customFormat="1" ht="28.5" hidden="1" customHeight="1" spans="1:35">
      <c r="A31" s="971">
        <f t="shared" si="16"/>
        <v>28</v>
      </c>
      <c r="B31" s="35" t="s">
        <v>209</v>
      </c>
      <c r="C31" s="971" t="s">
        <v>909</v>
      </c>
      <c r="D31" s="971" t="s">
        <v>1408</v>
      </c>
      <c r="E31" s="971" t="s">
        <v>1409</v>
      </c>
      <c r="F31" s="989">
        <v>46154</v>
      </c>
      <c r="G31" s="989">
        <v>46226</v>
      </c>
      <c r="H31" s="989">
        <v>46226</v>
      </c>
      <c r="I31" s="989">
        <v>46177</v>
      </c>
      <c r="J31" s="971">
        <f t="shared" si="17"/>
        <v>0</v>
      </c>
      <c r="K31" s="971">
        <v>48</v>
      </c>
      <c r="L31" s="971">
        <v>1920</v>
      </c>
      <c r="M31" s="971">
        <v>1920</v>
      </c>
      <c r="N31" s="971">
        <v>1920</v>
      </c>
      <c r="O31" s="971">
        <v>1920</v>
      </c>
      <c r="P31" s="971">
        <v>1920</v>
      </c>
      <c r="Q31" s="971">
        <v>1920</v>
      </c>
      <c r="R31" s="971">
        <v>1920</v>
      </c>
      <c r="S31" s="971">
        <v>1920</v>
      </c>
      <c r="T31" s="971">
        <v>1920</v>
      </c>
      <c r="U31" s="971">
        <v>1920</v>
      </c>
      <c r="V31" s="971">
        <v>1920</v>
      </c>
      <c r="W31" s="971">
        <v>1920</v>
      </c>
      <c r="X31" s="971" t="s">
        <v>1410</v>
      </c>
      <c r="Y31" s="971" t="s">
        <v>196</v>
      </c>
      <c r="Z31" s="971" t="s">
        <v>561</v>
      </c>
      <c r="AA31" s="971" t="s">
        <v>1411</v>
      </c>
      <c r="AB31" s="971" t="s">
        <v>1410</v>
      </c>
      <c r="AC31" s="996" t="s">
        <v>1400</v>
      </c>
      <c r="AD31" s="990">
        <v>46239</v>
      </c>
      <c r="AE31" s="992">
        <v>46231</v>
      </c>
      <c r="AF31" s="971"/>
      <c r="AG31" s="990">
        <v>46275</v>
      </c>
      <c r="AH31" s="1288" t="s">
        <v>1412</v>
      </c>
      <c r="AI31" s="998" t="s">
        <v>1379</v>
      </c>
    </row>
    <row r="32" s="255" customFormat="1" ht="28.5" customHeight="1" spans="1:35">
      <c r="A32" s="971">
        <f t="shared" si="16"/>
        <v>29</v>
      </c>
      <c r="B32" s="35" t="s">
        <v>209</v>
      </c>
      <c r="C32" s="971" t="s">
        <v>909</v>
      </c>
      <c r="D32" s="971" t="s">
        <v>935</v>
      </c>
      <c r="E32" s="50" t="s">
        <v>936</v>
      </c>
      <c r="F32" s="989">
        <v>46154</v>
      </c>
      <c r="G32" s="989">
        <v>46233</v>
      </c>
      <c r="H32" s="989">
        <v>46233</v>
      </c>
      <c r="I32" s="989">
        <v>46177</v>
      </c>
      <c r="J32" s="971">
        <f t="shared" si="17"/>
        <v>23040</v>
      </c>
      <c r="K32" s="971">
        <v>48</v>
      </c>
      <c r="L32" s="971">
        <v>1920</v>
      </c>
      <c r="M32" s="971">
        <v>1920</v>
      </c>
      <c r="N32" s="971">
        <v>1920</v>
      </c>
      <c r="O32" s="971">
        <v>1920</v>
      </c>
      <c r="P32" s="971">
        <v>1920</v>
      </c>
      <c r="Q32" s="971">
        <v>1920</v>
      </c>
      <c r="R32" s="971">
        <v>1920</v>
      </c>
      <c r="S32" s="971">
        <v>1920</v>
      </c>
      <c r="T32" s="971">
        <v>1920</v>
      </c>
      <c r="U32" s="971">
        <v>1920</v>
      </c>
      <c r="V32" s="971">
        <v>1920</v>
      </c>
      <c r="W32" s="971">
        <v>1920</v>
      </c>
      <c r="X32" s="971" t="s">
        <v>1410</v>
      </c>
      <c r="Y32" s="971" t="s">
        <v>196</v>
      </c>
      <c r="Z32" s="971" t="s">
        <v>561</v>
      </c>
      <c r="AA32" s="971" t="s">
        <v>1411</v>
      </c>
      <c r="AB32" s="971" t="s">
        <v>1410</v>
      </c>
      <c r="AC32" s="35" t="s">
        <v>1374</v>
      </c>
      <c r="AD32" s="990">
        <v>46233</v>
      </c>
      <c r="AE32" s="992">
        <v>46231</v>
      </c>
      <c r="AF32" s="971"/>
      <c r="AG32" s="990"/>
      <c r="AH32" s="1288" t="s">
        <v>937</v>
      </c>
      <c r="AI32" s="255" t="s">
        <v>1375</v>
      </c>
    </row>
    <row r="33" s="255" customFormat="1" ht="28.5" hidden="1" customHeight="1" spans="1:35">
      <c r="A33" s="971">
        <f t="shared" si="16"/>
        <v>30</v>
      </c>
      <c r="B33" s="35" t="s">
        <v>209</v>
      </c>
      <c r="C33" s="971" t="s">
        <v>909</v>
      </c>
      <c r="D33" s="971" t="s">
        <v>938</v>
      </c>
      <c r="E33" s="50" t="s">
        <v>939</v>
      </c>
      <c r="F33" s="989">
        <v>46154</v>
      </c>
      <c r="G33" s="989">
        <v>46233</v>
      </c>
      <c r="H33" s="989">
        <v>46233</v>
      </c>
      <c r="I33" s="989">
        <v>46177</v>
      </c>
      <c r="J33" s="971">
        <f t="shared" si="17"/>
        <v>0</v>
      </c>
      <c r="K33" s="971">
        <v>48</v>
      </c>
      <c r="L33" s="971">
        <v>1920</v>
      </c>
      <c r="M33" s="971">
        <v>1920</v>
      </c>
      <c r="N33" s="971">
        <v>1920</v>
      </c>
      <c r="O33" s="971">
        <v>1920</v>
      </c>
      <c r="P33" s="971">
        <v>1920</v>
      </c>
      <c r="Q33" s="971">
        <v>1920</v>
      </c>
      <c r="R33" s="971">
        <v>1920</v>
      </c>
      <c r="S33" s="971">
        <v>1920</v>
      </c>
      <c r="T33" s="971">
        <v>1920</v>
      </c>
      <c r="U33" s="971">
        <v>1920</v>
      </c>
      <c r="V33" s="971">
        <v>1920</v>
      </c>
      <c r="W33" s="971">
        <v>1920</v>
      </c>
      <c r="X33" s="971" t="s">
        <v>1410</v>
      </c>
      <c r="Y33" s="971" t="s">
        <v>196</v>
      </c>
      <c r="Z33" s="971" t="s">
        <v>561</v>
      </c>
      <c r="AA33" s="971" t="s">
        <v>1411</v>
      </c>
      <c r="AB33" s="971" t="s">
        <v>1410</v>
      </c>
      <c r="AC33" s="35" t="s">
        <v>1374</v>
      </c>
      <c r="AD33" s="990">
        <v>46233</v>
      </c>
      <c r="AE33" s="992">
        <v>46231</v>
      </c>
      <c r="AF33" s="971"/>
      <c r="AG33" s="990">
        <v>46258</v>
      </c>
      <c r="AH33" s="1288" t="s">
        <v>943</v>
      </c>
      <c r="AI33" s="255" t="s">
        <v>1375</v>
      </c>
    </row>
    <row r="34" s="255" customFormat="1" ht="28.5" customHeight="1" spans="1:35">
      <c r="A34" s="971">
        <f t="shared" si="16"/>
        <v>31</v>
      </c>
      <c r="B34" s="35" t="s">
        <v>209</v>
      </c>
      <c r="C34" s="971" t="s">
        <v>909</v>
      </c>
      <c r="D34" s="971" t="s">
        <v>944</v>
      </c>
      <c r="E34" s="48" t="s">
        <v>945</v>
      </c>
      <c r="F34" s="989">
        <v>46154</v>
      </c>
      <c r="G34" s="989">
        <v>46233</v>
      </c>
      <c r="H34" s="989">
        <v>46233</v>
      </c>
      <c r="I34" s="989">
        <v>46177</v>
      </c>
      <c r="J34" s="971">
        <f t="shared" si="17"/>
        <v>23040</v>
      </c>
      <c r="K34" s="971">
        <v>48</v>
      </c>
      <c r="L34" s="971">
        <v>1920</v>
      </c>
      <c r="M34" s="971">
        <v>1920</v>
      </c>
      <c r="N34" s="971">
        <v>1920</v>
      </c>
      <c r="O34" s="971">
        <v>1920</v>
      </c>
      <c r="P34" s="971">
        <v>1920</v>
      </c>
      <c r="Q34" s="971">
        <v>1920</v>
      </c>
      <c r="R34" s="971">
        <v>1920</v>
      </c>
      <c r="S34" s="971">
        <v>1920</v>
      </c>
      <c r="T34" s="971">
        <v>1920</v>
      </c>
      <c r="U34" s="971">
        <v>1920</v>
      </c>
      <c r="V34" s="971">
        <v>1920</v>
      </c>
      <c r="W34" s="971">
        <v>1920</v>
      </c>
      <c r="X34" s="971" t="s">
        <v>1410</v>
      </c>
      <c r="Y34" s="971" t="s">
        <v>196</v>
      </c>
      <c r="Z34" s="971" t="s">
        <v>561</v>
      </c>
      <c r="AA34" s="971" t="s">
        <v>1411</v>
      </c>
      <c r="AB34" s="971" t="s">
        <v>1410</v>
      </c>
      <c r="AC34" s="35" t="s">
        <v>1374</v>
      </c>
      <c r="AD34" s="990">
        <v>46233</v>
      </c>
      <c r="AE34" s="992">
        <v>46231</v>
      </c>
      <c r="AF34" s="971"/>
      <c r="AG34" s="990"/>
      <c r="AH34" s="1288" t="s">
        <v>947</v>
      </c>
      <c r="AI34" s="255" t="s">
        <v>1375</v>
      </c>
    </row>
    <row r="35" s="255" customFormat="1" ht="28.5" hidden="1" customHeight="1" spans="1:35">
      <c r="A35" s="971">
        <f t="shared" si="16"/>
        <v>32</v>
      </c>
      <c r="B35" s="35" t="s">
        <v>209</v>
      </c>
      <c r="C35" s="971" t="s">
        <v>909</v>
      </c>
      <c r="D35" s="971" t="s">
        <v>948</v>
      </c>
      <c r="E35" s="48" t="s">
        <v>949</v>
      </c>
      <c r="F35" s="989">
        <v>46154</v>
      </c>
      <c r="G35" s="989">
        <v>46233</v>
      </c>
      <c r="H35" s="989">
        <v>46233</v>
      </c>
      <c r="I35" s="989">
        <v>46177</v>
      </c>
      <c r="J35" s="971">
        <f t="shared" si="17"/>
        <v>0</v>
      </c>
      <c r="K35" s="971">
        <v>48</v>
      </c>
      <c r="L35" s="971">
        <v>1920</v>
      </c>
      <c r="M35" s="971">
        <v>1920</v>
      </c>
      <c r="N35" s="971">
        <v>1920</v>
      </c>
      <c r="O35" s="971">
        <v>1920</v>
      </c>
      <c r="P35" s="971">
        <v>1920</v>
      </c>
      <c r="Q35" s="971">
        <v>1920</v>
      </c>
      <c r="R35" s="971">
        <v>1920</v>
      </c>
      <c r="S35" s="971">
        <v>1920</v>
      </c>
      <c r="T35" s="971">
        <v>1920</v>
      </c>
      <c r="U35" s="971">
        <v>1920</v>
      </c>
      <c r="V35" s="971">
        <v>1920</v>
      </c>
      <c r="W35" s="971">
        <v>1920</v>
      </c>
      <c r="X35" s="971" t="s">
        <v>1410</v>
      </c>
      <c r="Y35" s="971" t="s">
        <v>196</v>
      </c>
      <c r="Z35" s="971" t="s">
        <v>561</v>
      </c>
      <c r="AA35" s="971" t="s">
        <v>1411</v>
      </c>
      <c r="AB35" s="971" t="s">
        <v>1410</v>
      </c>
      <c r="AC35" s="35" t="s">
        <v>1374</v>
      </c>
      <c r="AD35" s="807">
        <v>46233</v>
      </c>
      <c r="AE35" s="992">
        <v>46231</v>
      </c>
      <c r="AF35" s="971"/>
      <c r="AG35" s="807">
        <v>46246</v>
      </c>
      <c r="AH35" s="1288" t="s">
        <v>950</v>
      </c>
      <c r="AI35" s="255" t="s">
        <v>1375</v>
      </c>
    </row>
    <row r="36" s="255" customFormat="1" ht="28.5" customHeight="1" spans="1:35">
      <c r="A36" s="971">
        <f t="shared" si="16"/>
        <v>33</v>
      </c>
      <c r="B36" s="35" t="s">
        <v>209</v>
      </c>
      <c r="C36" s="971" t="s">
        <v>909</v>
      </c>
      <c r="D36" s="970" t="s">
        <v>1413</v>
      </c>
      <c r="E36" s="971" t="s">
        <v>1414</v>
      </c>
      <c r="F36" s="989">
        <v>46135</v>
      </c>
      <c r="G36" s="989">
        <v>46203</v>
      </c>
      <c r="H36" s="989">
        <v>46203</v>
      </c>
      <c r="I36" s="989">
        <v>46149</v>
      </c>
      <c r="J36" s="971">
        <f t="shared" si="17"/>
        <v>34560</v>
      </c>
      <c r="K36" s="971">
        <v>48</v>
      </c>
      <c r="L36" s="971">
        <v>2880</v>
      </c>
      <c r="M36" s="971">
        <v>2880</v>
      </c>
      <c r="N36" s="971">
        <v>2880</v>
      </c>
      <c r="O36" s="971">
        <v>2880</v>
      </c>
      <c r="P36" s="971">
        <v>2880</v>
      </c>
      <c r="Q36" s="971">
        <v>2880</v>
      </c>
      <c r="R36" s="971">
        <v>2880</v>
      </c>
      <c r="S36" s="971">
        <v>2880</v>
      </c>
      <c r="T36" s="971">
        <v>2880</v>
      </c>
      <c r="U36" s="971">
        <v>2880</v>
      </c>
      <c r="V36" s="971">
        <v>2880</v>
      </c>
      <c r="W36" s="971">
        <v>2880</v>
      </c>
      <c r="X36" s="971" t="s">
        <v>1399</v>
      </c>
      <c r="Y36" s="971" t="s">
        <v>196</v>
      </c>
      <c r="Z36" s="971" t="s">
        <v>1141</v>
      </c>
      <c r="AA36" s="971" t="s">
        <v>168</v>
      </c>
      <c r="AB36" s="971" t="s">
        <v>1399</v>
      </c>
      <c r="AC36" s="996" t="s">
        <v>1400</v>
      </c>
      <c r="AD36" s="997">
        <v>46234</v>
      </c>
      <c r="AE36" s="992">
        <v>46231</v>
      </c>
      <c r="AF36" s="971"/>
      <c r="AG36" s="807"/>
      <c r="AH36" s="1289" t="s">
        <v>1415</v>
      </c>
      <c r="AI36" s="998" t="s">
        <v>1379</v>
      </c>
    </row>
    <row r="37" s="255" customFormat="1" ht="28.5" customHeight="1" spans="1:35">
      <c r="A37" s="971">
        <f t="shared" si="16"/>
        <v>34</v>
      </c>
      <c r="B37" s="35" t="s">
        <v>209</v>
      </c>
      <c r="C37" s="971" t="s">
        <v>909</v>
      </c>
      <c r="D37" s="971" t="s">
        <v>1416</v>
      </c>
      <c r="E37" s="971" t="s">
        <v>1417</v>
      </c>
      <c r="F37" s="989">
        <v>46135</v>
      </c>
      <c r="G37" s="989">
        <v>46203</v>
      </c>
      <c r="H37" s="989">
        <v>46203</v>
      </c>
      <c r="I37" s="989">
        <v>46149</v>
      </c>
      <c r="J37" s="971">
        <f t="shared" si="17"/>
        <v>28800</v>
      </c>
      <c r="K37" s="971">
        <v>48</v>
      </c>
      <c r="L37" s="971">
        <v>2400</v>
      </c>
      <c r="M37" s="971">
        <v>2400</v>
      </c>
      <c r="N37" s="971">
        <v>2400</v>
      </c>
      <c r="O37" s="971">
        <v>2400</v>
      </c>
      <c r="P37" s="971">
        <v>2400</v>
      </c>
      <c r="Q37" s="971">
        <v>2400</v>
      </c>
      <c r="R37" s="971">
        <v>2400</v>
      </c>
      <c r="S37" s="971">
        <v>2400</v>
      </c>
      <c r="T37" s="971">
        <v>2400</v>
      </c>
      <c r="U37" s="971">
        <v>2400</v>
      </c>
      <c r="V37" s="971">
        <v>2400</v>
      </c>
      <c r="W37" s="971">
        <v>2400</v>
      </c>
      <c r="X37" s="971" t="s">
        <v>1399</v>
      </c>
      <c r="Y37" s="971" t="s">
        <v>196</v>
      </c>
      <c r="Z37" s="971" t="s">
        <v>1141</v>
      </c>
      <c r="AA37" s="971" t="s">
        <v>168</v>
      </c>
      <c r="AB37" s="971" t="s">
        <v>1399</v>
      </c>
      <c r="AC37" s="996" t="s">
        <v>1400</v>
      </c>
      <c r="AD37" s="997">
        <v>46239</v>
      </c>
      <c r="AE37" s="992">
        <v>46231</v>
      </c>
      <c r="AF37" s="971"/>
      <c r="AG37" s="990"/>
      <c r="AH37" s="1288" t="s">
        <v>1418</v>
      </c>
      <c r="AI37" s="998" t="s">
        <v>1379</v>
      </c>
    </row>
    <row r="38" s="255" customFormat="1" ht="28.5" customHeight="1" spans="1:35">
      <c r="A38" s="971">
        <f t="shared" si="16"/>
        <v>35</v>
      </c>
      <c r="B38" s="35" t="s">
        <v>209</v>
      </c>
      <c r="C38" s="971" t="s">
        <v>909</v>
      </c>
      <c r="D38" s="971" t="s">
        <v>1419</v>
      </c>
      <c r="E38" s="971" t="s">
        <v>1420</v>
      </c>
      <c r="F38" s="989">
        <v>46154</v>
      </c>
      <c r="G38" s="989">
        <v>46226</v>
      </c>
      <c r="H38" s="989">
        <v>46226</v>
      </c>
      <c r="I38" s="989">
        <v>46177</v>
      </c>
      <c r="J38" s="971">
        <f t="shared" si="17"/>
        <v>23040</v>
      </c>
      <c r="K38" s="971">
        <v>48</v>
      </c>
      <c r="L38" s="971">
        <v>1920</v>
      </c>
      <c r="M38" s="971">
        <v>1920</v>
      </c>
      <c r="N38" s="971">
        <v>1920</v>
      </c>
      <c r="O38" s="971">
        <v>1920</v>
      </c>
      <c r="P38" s="971">
        <v>1920</v>
      </c>
      <c r="Q38" s="971">
        <v>1920</v>
      </c>
      <c r="R38" s="971">
        <v>1920</v>
      </c>
      <c r="S38" s="971">
        <v>1920</v>
      </c>
      <c r="T38" s="971">
        <v>1920</v>
      </c>
      <c r="U38" s="971">
        <v>1920</v>
      </c>
      <c r="V38" s="971">
        <v>1920</v>
      </c>
      <c r="W38" s="971">
        <v>1920</v>
      </c>
      <c r="X38" s="971" t="s">
        <v>1410</v>
      </c>
      <c r="Y38" s="971" t="s">
        <v>196</v>
      </c>
      <c r="Z38" s="971" t="s">
        <v>561</v>
      </c>
      <c r="AA38" s="971" t="s">
        <v>1411</v>
      </c>
      <c r="AB38" s="971" t="s">
        <v>1410</v>
      </c>
      <c r="AC38" s="996" t="s">
        <v>1421</v>
      </c>
      <c r="AD38" s="997">
        <v>46269</v>
      </c>
      <c r="AE38" s="992">
        <v>46231</v>
      </c>
      <c r="AF38" s="971"/>
      <c r="AG38" s="990"/>
      <c r="AH38" s="1288" t="s">
        <v>1422</v>
      </c>
      <c r="AI38" s="998" t="s">
        <v>1379</v>
      </c>
    </row>
    <row r="39" s="255" customFormat="1" ht="28.5" customHeight="1" spans="1:35">
      <c r="A39" s="971">
        <f t="shared" si="16"/>
        <v>36</v>
      </c>
      <c r="B39" s="35" t="s">
        <v>209</v>
      </c>
      <c r="C39" s="971" t="s">
        <v>909</v>
      </c>
      <c r="D39" s="971" t="s">
        <v>1423</v>
      </c>
      <c r="E39" s="971" t="s">
        <v>1424</v>
      </c>
      <c r="F39" s="989">
        <v>46154</v>
      </c>
      <c r="G39" s="989">
        <v>46226</v>
      </c>
      <c r="H39" s="989">
        <v>46226</v>
      </c>
      <c r="I39" s="989">
        <v>46177</v>
      </c>
      <c r="J39" s="971">
        <f t="shared" si="17"/>
        <v>23040</v>
      </c>
      <c r="K39" s="971">
        <v>48</v>
      </c>
      <c r="L39" s="971">
        <v>1920</v>
      </c>
      <c r="M39" s="971">
        <v>1920</v>
      </c>
      <c r="N39" s="971">
        <v>1920</v>
      </c>
      <c r="O39" s="971">
        <v>1920</v>
      </c>
      <c r="P39" s="971">
        <v>1920</v>
      </c>
      <c r="Q39" s="971">
        <v>1920</v>
      </c>
      <c r="R39" s="971">
        <v>1920</v>
      </c>
      <c r="S39" s="971">
        <v>1920</v>
      </c>
      <c r="T39" s="971">
        <v>1920</v>
      </c>
      <c r="U39" s="971">
        <v>1920</v>
      </c>
      <c r="V39" s="971">
        <v>1920</v>
      </c>
      <c r="W39" s="971">
        <v>1920</v>
      </c>
      <c r="X39" s="971" t="s">
        <v>1410</v>
      </c>
      <c r="Y39" s="971" t="s">
        <v>196</v>
      </c>
      <c r="Z39" s="971" t="s">
        <v>561</v>
      </c>
      <c r="AA39" s="971" t="s">
        <v>1411</v>
      </c>
      <c r="AB39" s="971" t="s">
        <v>1410</v>
      </c>
      <c r="AC39" s="996" t="s">
        <v>1400</v>
      </c>
      <c r="AD39" s="990">
        <v>46241</v>
      </c>
      <c r="AE39" s="992">
        <v>46240</v>
      </c>
      <c r="AF39" s="971"/>
      <c r="AG39" s="990"/>
      <c r="AH39" s="1288" t="s">
        <v>1425</v>
      </c>
      <c r="AI39" s="998" t="s">
        <v>1379</v>
      </c>
    </row>
    <row r="40" s="255" customFormat="1" ht="28.5" hidden="1" customHeight="1" spans="1:35">
      <c r="A40" s="971">
        <f t="shared" si="16"/>
        <v>37</v>
      </c>
      <c r="B40" s="35" t="s">
        <v>209</v>
      </c>
      <c r="C40" s="971" t="s">
        <v>909</v>
      </c>
      <c r="D40" s="971" t="s">
        <v>1426</v>
      </c>
      <c r="E40" s="971" t="s">
        <v>1427</v>
      </c>
      <c r="F40" s="989">
        <v>46154</v>
      </c>
      <c r="G40" s="989">
        <v>46240</v>
      </c>
      <c r="H40" s="989">
        <v>46240</v>
      </c>
      <c r="I40" s="989">
        <v>46177</v>
      </c>
      <c r="J40" s="971">
        <f t="shared" si="17"/>
        <v>0</v>
      </c>
      <c r="K40" s="971">
        <v>48</v>
      </c>
      <c r="L40" s="971">
        <v>1920</v>
      </c>
      <c r="M40" s="971">
        <v>1920</v>
      </c>
      <c r="N40" s="971">
        <v>1920</v>
      </c>
      <c r="O40" s="971">
        <v>1920</v>
      </c>
      <c r="P40" s="971">
        <v>1920</v>
      </c>
      <c r="Q40" s="971">
        <v>1920</v>
      </c>
      <c r="R40" s="971">
        <v>1920</v>
      </c>
      <c r="S40" s="971">
        <v>1920</v>
      </c>
      <c r="T40" s="971">
        <v>1920</v>
      </c>
      <c r="U40" s="971">
        <v>1920</v>
      </c>
      <c r="V40" s="971">
        <v>1920</v>
      </c>
      <c r="W40" s="971">
        <v>1920</v>
      </c>
      <c r="X40" s="971" t="s">
        <v>1410</v>
      </c>
      <c r="Y40" s="971" t="s">
        <v>196</v>
      </c>
      <c r="Z40" s="971" t="s">
        <v>582</v>
      </c>
      <c r="AA40" s="971" t="s">
        <v>603</v>
      </c>
      <c r="AB40" s="971" t="s">
        <v>1410</v>
      </c>
      <c r="AC40" s="996" t="s">
        <v>1400</v>
      </c>
      <c r="AD40" s="990">
        <v>46240</v>
      </c>
      <c r="AE40" s="992">
        <v>46240</v>
      </c>
      <c r="AF40" s="971"/>
      <c r="AG40" s="990">
        <v>46275</v>
      </c>
      <c r="AH40" s="1288" t="s">
        <v>1428</v>
      </c>
      <c r="AI40" s="998" t="s">
        <v>1379</v>
      </c>
    </row>
    <row r="41" s="255" customFormat="1" ht="28.5" customHeight="1" spans="1:35">
      <c r="A41" s="971">
        <f t="shared" si="16"/>
        <v>38</v>
      </c>
      <c r="B41" s="35" t="s">
        <v>209</v>
      </c>
      <c r="C41" s="971" t="s">
        <v>909</v>
      </c>
      <c r="D41" s="971" t="s">
        <v>1429</v>
      </c>
      <c r="E41" s="971" t="s">
        <v>1430</v>
      </c>
      <c r="F41" s="989">
        <v>46154</v>
      </c>
      <c r="G41" s="989">
        <v>46240</v>
      </c>
      <c r="H41" s="989">
        <v>46240</v>
      </c>
      <c r="I41" s="989">
        <v>46177</v>
      </c>
      <c r="J41" s="971">
        <f t="shared" si="17"/>
        <v>23040</v>
      </c>
      <c r="K41" s="971">
        <v>48</v>
      </c>
      <c r="L41" s="971">
        <v>1920</v>
      </c>
      <c r="M41" s="971">
        <v>1920</v>
      </c>
      <c r="N41" s="971">
        <v>1920</v>
      </c>
      <c r="O41" s="971">
        <v>1920</v>
      </c>
      <c r="P41" s="971">
        <v>1920</v>
      </c>
      <c r="Q41" s="971">
        <v>1920</v>
      </c>
      <c r="R41" s="971">
        <v>1920</v>
      </c>
      <c r="S41" s="971">
        <v>1920</v>
      </c>
      <c r="T41" s="971">
        <v>1920</v>
      </c>
      <c r="U41" s="971">
        <v>1920</v>
      </c>
      <c r="V41" s="971">
        <v>1920</v>
      </c>
      <c r="W41" s="971">
        <v>1920</v>
      </c>
      <c r="X41" s="971" t="s">
        <v>1410</v>
      </c>
      <c r="Y41" s="971" t="s">
        <v>196</v>
      </c>
      <c r="Z41" s="971" t="s">
        <v>582</v>
      </c>
      <c r="AA41" s="971" t="s">
        <v>603</v>
      </c>
      <c r="AB41" s="971" t="s">
        <v>1410</v>
      </c>
      <c r="AC41" s="35" t="s">
        <v>1374</v>
      </c>
      <c r="AD41" s="990">
        <v>46240</v>
      </c>
      <c r="AE41" s="992">
        <v>46240</v>
      </c>
      <c r="AF41" s="971"/>
      <c r="AG41" s="990"/>
      <c r="AH41" s="1288" t="s">
        <v>1431</v>
      </c>
      <c r="AI41" s="255" t="s">
        <v>1375</v>
      </c>
    </row>
    <row r="42" s="255" customFormat="1" ht="28.5" customHeight="1" spans="1:35">
      <c r="A42" s="971">
        <f t="shared" ref="A42:A57" si="18">ROW()-3</f>
        <v>39</v>
      </c>
      <c r="B42" s="35" t="s">
        <v>209</v>
      </c>
      <c r="C42" s="971" t="s">
        <v>909</v>
      </c>
      <c r="D42" s="971" t="s">
        <v>1432</v>
      </c>
      <c r="E42" s="971" t="s">
        <v>1433</v>
      </c>
      <c r="F42" s="989">
        <v>46154</v>
      </c>
      <c r="G42" s="989">
        <v>46240</v>
      </c>
      <c r="H42" s="989">
        <v>46240</v>
      </c>
      <c r="I42" s="989">
        <v>46177</v>
      </c>
      <c r="J42" s="971">
        <f t="shared" si="17"/>
        <v>23040</v>
      </c>
      <c r="K42" s="971">
        <v>48</v>
      </c>
      <c r="L42" s="971">
        <v>1920</v>
      </c>
      <c r="M42" s="971">
        <v>1920</v>
      </c>
      <c r="N42" s="971">
        <v>1920</v>
      </c>
      <c r="O42" s="971">
        <v>1920</v>
      </c>
      <c r="P42" s="971">
        <v>1920</v>
      </c>
      <c r="Q42" s="971">
        <v>1920</v>
      </c>
      <c r="R42" s="971">
        <v>1920</v>
      </c>
      <c r="S42" s="971">
        <v>1920</v>
      </c>
      <c r="T42" s="971">
        <v>1920</v>
      </c>
      <c r="U42" s="971">
        <v>1920</v>
      </c>
      <c r="V42" s="971">
        <v>1920</v>
      </c>
      <c r="W42" s="971">
        <v>1920</v>
      </c>
      <c r="X42" s="971" t="s">
        <v>1410</v>
      </c>
      <c r="Y42" s="971" t="s">
        <v>196</v>
      </c>
      <c r="Z42" s="971" t="s">
        <v>582</v>
      </c>
      <c r="AA42" s="971" t="s">
        <v>603</v>
      </c>
      <c r="AB42" s="971" t="s">
        <v>1410</v>
      </c>
      <c r="AC42" s="996" t="s">
        <v>1400</v>
      </c>
      <c r="AD42" s="990">
        <v>46240</v>
      </c>
      <c r="AE42" s="992">
        <v>46240</v>
      </c>
      <c r="AF42" s="971"/>
      <c r="AG42" s="990"/>
      <c r="AH42" s="1288" t="s">
        <v>1434</v>
      </c>
      <c r="AI42" s="998" t="s">
        <v>1379</v>
      </c>
    </row>
    <row r="43" s="255" customFormat="1" ht="28.5" customHeight="1" spans="1:35">
      <c r="A43" s="971">
        <f t="shared" si="18"/>
        <v>40</v>
      </c>
      <c r="B43" s="35" t="s">
        <v>209</v>
      </c>
      <c r="C43" s="971" t="s">
        <v>909</v>
      </c>
      <c r="D43" s="971" t="s">
        <v>951</v>
      </c>
      <c r="E43" s="48" t="s">
        <v>952</v>
      </c>
      <c r="F43" s="989">
        <v>46154</v>
      </c>
      <c r="G43" s="989">
        <v>46240</v>
      </c>
      <c r="H43" s="989">
        <v>46240</v>
      </c>
      <c r="I43" s="989">
        <v>46177</v>
      </c>
      <c r="J43" s="971">
        <f t="shared" si="17"/>
        <v>23040</v>
      </c>
      <c r="K43" s="971">
        <v>48</v>
      </c>
      <c r="L43" s="971">
        <v>1920</v>
      </c>
      <c r="M43" s="971">
        <v>1920</v>
      </c>
      <c r="N43" s="971">
        <v>1920</v>
      </c>
      <c r="O43" s="971">
        <v>1920</v>
      </c>
      <c r="P43" s="971">
        <v>1920</v>
      </c>
      <c r="Q43" s="971">
        <v>1920</v>
      </c>
      <c r="R43" s="971">
        <v>1920</v>
      </c>
      <c r="S43" s="971">
        <v>1920</v>
      </c>
      <c r="T43" s="971">
        <v>1920</v>
      </c>
      <c r="U43" s="971">
        <v>1920</v>
      </c>
      <c r="V43" s="971">
        <v>1920</v>
      </c>
      <c r="W43" s="971">
        <v>1920</v>
      </c>
      <c r="X43" s="971" t="s">
        <v>1410</v>
      </c>
      <c r="Y43" s="971" t="s">
        <v>196</v>
      </c>
      <c r="Z43" s="971" t="s">
        <v>582</v>
      </c>
      <c r="AA43" s="37" t="s">
        <v>603</v>
      </c>
      <c r="AB43" s="971" t="s">
        <v>1410</v>
      </c>
      <c r="AC43" s="996" t="s">
        <v>1400</v>
      </c>
      <c r="AD43" s="990">
        <v>46240</v>
      </c>
      <c r="AE43" s="992">
        <v>46240</v>
      </c>
      <c r="AF43" s="971"/>
      <c r="AG43" s="990"/>
      <c r="AH43" s="1288" t="s">
        <v>953</v>
      </c>
      <c r="AI43" s="998" t="s">
        <v>1379</v>
      </c>
    </row>
    <row r="44" s="255" customFormat="1" ht="28.5" hidden="1" customHeight="1" spans="1:35">
      <c r="A44" s="971">
        <f t="shared" si="18"/>
        <v>41</v>
      </c>
      <c r="B44" s="35" t="s">
        <v>209</v>
      </c>
      <c r="C44" s="971" t="s">
        <v>909</v>
      </c>
      <c r="D44" s="971" t="s">
        <v>1435</v>
      </c>
      <c r="E44" s="971" t="s">
        <v>1436</v>
      </c>
      <c r="F44" s="989">
        <v>46154</v>
      </c>
      <c r="G44" s="989">
        <v>46240</v>
      </c>
      <c r="H44" s="989">
        <v>46240</v>
      </c>
      <c r="I44" s="989">
        <v>46177</v>
      </c>
      <c r="J44" s="971">
        <f t="shared" si="17"/>
        <v>0</v>
      </c>
      <c r="K44" s="971">
        <v>48</v>
      </c>
      <c r="L44" s="971">
        <v>1920</v>
      </c>
      <c r="M44" s="971">
        <v>1920</v>
      </c>
      <c r="N44" s="971">
        <v>1920</v>
      </c>
      <c r="O44" s="971">
        <v>1920</v>
      </c>
      <c r="P44" s="971">
        <v>1920</v>
      </c>
      <c r="Q44" s="971">
        <v>1920</v>
      </c>
      <c r="R44" s="971">
        <v>1920</v>
      </c>
      <c r="S44" s="971">
        <v>1920</v>
      </c>
      <c r="T44" s="971">
        <v>1920</v>
      </c>
      <c r="U44" s="971">
        <v>1920</v>
      </c>
      <c r="V44" s="971">
        <v>1920</v>
      </c>
      <c r="W44" s="971">
        <v>1920</v>
      </c>
      <c r="X44" s="971" t="s">
        <v>1410</v>
      </c>
      <c r="Y44" s="971" t="s">
        <v>196</v>
      </c>
      <c r="Z44" s="971" t="s">
        <v>582</v>
      </c>
      <c r="AA44" s="971" t="s">
        <v>603</v>
      </c>
      <c r="AB44" s="971" t="s">
        <v>1410</v>
      </c>
      <c r="AC44" s="35" t="s">
        <v>1374</v>
      </c>
      <c r="AD44" s="990">
        <v>46240</v>
      </c>
      <c r="AE44" s="992">
        <v>46240</v>
      </c>
      <c r="AF44" s="971"/>
      <c r="AG44" s="807">
        <v>46248</v>
      </c>
      <c r="AH44" s="1288" t="s">
        <v>1437</v>
      </c>
      <c r="AI44" s="255" t="s">
        <v>1375</v>
      </c>
    </row>
    <row r="45" s="255" customFormat="1" ht="28.5" customHeight="1" spans="1:35">
      <c r="A45" s="971">
        <f t="shared" si="18"/>
        <v>42</v>
      </c>
      <c r="B45" s="35" t="s">
        <v>209</v>
      </c>
      <c r="C45" s="971" t="s">
        <v>909</v>
      </c>
      <c r="D45" s="971" t="s">
        <v>954</v>
      </c>
      <c r="E45" s="48" t="s">
        <v>955</v>
      </c>
      <c r="F45" s="989">
        <v>46154</v>
      </c>
      <c r="G45" s="989">
        <v>46247</v>
      </c>
      <c r="H45" s="989">
        <v>46247</v>
      </c>
      <c r="I45" s="989">
        <v>46177</v>
      </c>
      <c r="J45" s="971">
        <f t="shared" si="17"/>
        <v>23040</v>
      </c>
      <c r="K45" s="971">
        <v>48</v>
      </c>
      <c r="L45" s="971">
        <v>1920</v>
      </c>
      <c r="M45" s="971">
        <v>1920</v>
      </c>
      <c r="N45" s="971">
        <v>1920</v>
      </c>
      <c r="O45" s="971">
        <v>1920</v>
      </c>
      <c r="P45" s="971">
        <v>1920</v>
      </c>
      <c r="Q45" s="971">
        <v>1920</v>
      </c>
      <c r="R45" s="971">
        <v>1920</v>
      </c>
      <c r="S45" s="971">
        <v>1920</v>
      </c>
      <c r="T45" s="971">
        <v>1920</v>
      </c>
      <c r="U45" s="971">
        <v>1920</v>
      </c>
      <c r="V45" s="971">
        <v>1920</v>
      </c>
      <c r="W45" s="971">
        <v>1920</v>
      </c>
      <c r="X45" s="971" t="s">
        <v>1410</v>
      </c>
      <c r="Y45" s="971" t="s">
        <v>196</v>
      </c>
      <c r="Z45" s="971" t="s">
        <v>582</v>
      </c>
      <c r="AA45" s="37" t="s">
        <v>603</v>
      </c>
      <c r="AB45" s="971" t="s">
        <v>1410</v>
      </c>
      <c r="AC45" s="996" t="s">
        <v>1400</v>
      </c>
      <c r="AD45" s="990">
        <v>46247</v>
      </c>
      <c r="AE45" s="992">
        <v>46251</v>
      </c>
      <c r="AF45" s="992"/>
      <c r="AG45" s="807"/>
      <c r="AH45" s="1288" t="s">
        <v>956</v>
      </c>
      <c r="AI45" s="998" t="s">
        <v>1379</v>
      </c>
    </row>
    <row r="46" s="255" customFormat="1" ht="28.5" hidden="1" customHeight="1" spans="1:35">
      <c r="A46" s="971">
        <f t="shared" si="18"/>
        <v>43</v>
      </c>
      <c r="B46" s="35" t="s">
        <v>209</v>
      </c>
      <c r="C46" s="971" t="s">
        <v>909</v>
      </c>
      <c r="D46" s="971" t="s">
        <v>957</v>
      </c>
      <c r="E46" s="48" t="s">
        <v>958</v>
      </c>
      <c r="F46" s="989">
        <v>46154</v>
      </c>
      <c r="G46" s="989">
        <v>46247</v>
      </c>
      <c r="H46" s="989">
        <v>46247</v>
      </c>
      <c r="I46" s="989">
        <v>46177</v>
      </c>
      <c r="J46" s="971">
        <f t="shared" si="17"/>
        <v>0</v>
      </c>
      <c r="K46" s="971">
        <v>48</v>
      </c>
      <c r="L46" s="971">
        <v>1920</v>
      </c>
      <c r="M46" s="971">
        <v>1920</v>
      </c>
      <c r="N46" s="971">
        <v>1920</v>
      </c>
      <c r="O46" s="971">
        <v>1920</v>
      </c>
      <c r="P46" s="971">
        <v>1920</v>
      </c>
      <c r="Q46" s="971">
        <v>1920</v>
      </c>
      <c r="R46" s="971">
        <v>1920</v>
      </c>
      <c r="S46" s="971">
        <v>1920</v>
      </c>
      <c r="T46" s="971">
        <v>1920</v>
      </c>
      <c r="U46" s="971">
        <v>1920</v>
      </c>
      <c r="V46" s="971">
        <v>1920</v>
      </c>
      <c r="W46" s="971">
        <v>1920</v>
      </c>
      <c r="X46" s="971" t="s">
        <v>1410</v>
      </c>
      <c r="Y46" s="971" t="s">
        <v>196</v>
      </c>
      <c r="Z46" s="971" t="s">
        <v>582</v>
      </c>
      <c r="AA46" s="971" t="s">
        <v>603</v>
      </c>
      <c r="AB46" s="971" t="s">
        <v>1410</v>
      </c>
      <c r="AC46" s="35" t="s">
        <v>1374</v>
      </c>
      <c r="AD46" s="990">
        <v>46247</v>
      </c>
      <c r="AE46" s="992">
        <v>46251</v>
      </c>
      <c r="AF46" s="992"/>
      <c r="AG46" s="807">
        <v>46266</v>
      </c>
      <c r="AH46" s="1288" t="s">
        <v>959</v>
      </c>
      <c r="AI46" s="255" t="s">
        <v>1375</v>
      </c>
    </row>
    <row r="47" s="255" customFormat="1" ht="28.5" customHeight="1" spans="1:35">
      <c r="A47" s="971">
        <f t="shared" si="18"/>
        <v>44</v>
      </c>
      <c r="B47" s="35" t="s">
        <v>209</v>
      </c>
      <c r="C47" s="971" t="s">
        <v>909</v>
      </c>
      <c r="D47" s="971" t="s">
        <v>960</v>
      </c>
      <c r="E47" s="48" t="s">
        <v>961</v>
      </c>
      <c r="F47" s="989">
        <v>46154</v>
      </c>
      <c r="G47" s="989">
        <v>46247</v>
      </c>
      <c r="H47" s="989">
        <v>46247</v>
      </c>
      <c r="I47" s="989">
        <v>46177</v>
      </c>
      <c r="J47" s="971">
        <f t="shared" si="17"/>
        <v>23040</v>
      </c>
      <c r="K47" s="971">
        <v>48</v>
      </c>
      <c r="L47" s="971">
        <v>1920</v>
      </c>
      <c r="M47" s="971">
        <v>1920</v>
      </c>
      <c r="N47" s="971">
        <v>1920</v>
      </c>
      <c r="O47" s="971">
        <v>1920</v>
      </c>
      <c r="P47" s="971">
        <v>1920</v>
      </c>
      <c r="Q47" s="971">
        <v>1920</v>
      </c>
      <c r="R47" s="971">
        <v>1920</v>
      </c>
      <c r="S47" s="971">
        <v>1920</v>
      </c>
      <c r="T47" s="971">
        <v>1920</v>
      </c>
      <c r="U47" s="971">
        <v>1920</v>
      </c>
      <c r="V47" s="971">
        <v>1920</v>
      </c>
      <c r="W47" s="971">
        <v>1920</v>
      </c>
      <c r="X47" s="971" t="s">
        <v>1410</v>
      </c>
      <c r="Y47" s="971" t="s">
        <v>196</v>
      </c>
      <c r="Z47" s="971" t="s">
        <v>582</v>
      </c>
      <c r="AA47" s="971" t="s">
        <v>603</v>
      </c>
      <c r="AB47" s="971" t="s">
        <v>1410</v>
      </c>
      <c r="AC47" s="35" t="s">
        <v>1374</v>
      </c>
      <c r="AD47" s="990">
        <v>46247</v>
      </c>
      <c r="AE47" s="992">
        <v>46251</v>
      </c>
      <c r="AF47" s="992"/>
      <c r="AG47" s="807"/>
      <c r="AH47" s="1288" t="s">
        <v>962</v>
      </c>
      <c r="AI47" s="255" t="s">
        <v>1375</v>
      </c>
    </row>
    <row r="48" s="255" customFormat="1" ht="28.5" hidden="1" customHeight="1" spans="1:35">
      <c r="A48" s="971">
        <f t="shared" si="18"/>
        <v>45</v>
      </c>
      <c r="B48" s="35" t="s">
        <v>209</v>
      </c>
      <c r="C48" s="971" t="s">
        <v>909</v>
      </c>
      <c r="D48" s="971" t="s">
        <v>963</v>
      </c>
      <c r="E48" s="48" t="s">
        <v>964</v>
      </c>
      <c r="F48" s="989">
        <v>46154</v>
      </c>
      <c r="G48" s="989">
        <v>46247</v>
      </c>
      <c r="H48" s="989">
        <v>46247</v>
      </c>
      <c r="I48" s="989">
        <v>46177</v>
      </c>
      <c r="J48" s="971">
        <f t="shared" si="17"/>
        <v>0</v>
      </c>
      <c r="K48" s="971">
        <v>48</v>
      </c>
      <c r="L48" s="971">
        <v>1920</v>
      </c>
      <c r="M48" s="971">
        <v>1920</v>
      </c>
      <c r="N48" s="971">
        <v>1920</v>
      </c>
      <c r="O48" s="971">
        <v>1920</v>
      </c>
      <c r="P48" s="971">
        <v>1920</v>
      </c>
      <c r="Q48" s="971">
        <v>1920</v>
      </c>
      <c r="R48" s="971">
        <v>1920</v>
      </c>
      <c r="S48" s="971">
        <v>1920</v>
      </c>
      <c r="T48" s="971">
        <v>1920</v>
      </c>
      <c r="U48" s="971">
        <v>1920</v>
      </c>
      <c r="V48" s="971">
        <v>1920</v>
      </c>
      <c r="W48" s="971">
        <v>1920</v>
      </c>
      <c r="X48" s="971" t="s">
        <v>1410</v>
      </c>
      <c r="Y48" s="971" t="s">
        <v>196</v>
      </c>
      <c r="Z48" s="971" t="s">
        <v>582</v>
      </c>
      <c r="AA48" s="971" t="s">
        <v>603</v>
      </c>
      <c r="AB48" s="971" t="s">
        <v>1410</v>
      </c>
      <c r="AC48" s="35" t="s">
        <v>1374</v>
      </c>
      <c r="AD48" s="990">
        <v>46247</v>
      </c>
      <c r="AE48" s="992">
        <v>46251</v>
      </c>
      <c r="AF48" s="992"/>
      <c r="AG48" s="807">
        <v>46275</v>
      </c>
      <c r="AH48" s="1288" t="s">
        <v>965</v>
      </c>
      <c r="AI48" s="255" t="s">
        <v>1375</v>
      </c>
    </row>
    <row r="49" s="255" customFormat="1" ht="28.5" customHeight="1" spans="1:35">
      <c r="A49" s="971">
        <f t="shared" si="18"/>
        <v>46</v>
      </c>
      <c r="B49" s="35" t="s">
        <v>209</v>
      </c>
      <c r="C49" s="971" t="s">
        <v>909</v>
      </c>
      <c r="D49" s="971" t="s">
        <v>966</v>
      </c>
      <c r="E49" s="48" t="s">
        <v>967</v>
      </c>
      <c r="F49" s="989">
        <v>46154</v>
      </c>
      <c r="G49" s="989">
        <v>46247</v>
      </c>
      <c r="H49" s="989">
        <v>46247</v>
      </c>
      <c r="I49" s="989">
        <v>46177</v>
      </c>
      <c r="J49" s="971">
        <f t="shared" si="17"/>
        <v>23040</v>
      </c>
      <c r="K49" s="971">
        <v>48</v>
      </c>
      <c r="L49" s="971">
        <v>1920</v>
      </c>
      <c r="M49" s="971">
        <v>1920</v>
      </c>
      <c r="N49" s="971">
        <v>1920</v>
      </c>
      <c r="O49" s="971">
        <v>1920</v>
      </c>
      <c r="P49" s="971">
        <v>1920</v>
      </c>
      <c r="Q49" s="971">
        <v>1920</v>
      </c>
      <c r="R49" s="971">
        <v>1920</v>
      </c>
      <c r="S49" s="971">
        <v>1920</v>
      </c>
      <c r="T49" s="971">
        <v>1920</v>
      </c>
      <c r="U49" s="971">
        <v>1920</v>
      </c>
      <c r="V49" s="971">
        <v>1920</v>
      </c>
      <c r="W49" s="971">
        <v>1920</v>
      </c>
      <c r="X49" s="971" t="s">
        <v>1410</v>
      </c>
      <c r="Y49" s="971" t="s">
        <v>196</v>
      </c>
      <c r="Z49" s="971" t="s">
        <v>582</v>
      </c>
      <c r="AA49" s="971" t="s">
        <v>603</v>
      </c>
      <c r="AB49" s="971" t="s">
        <v>1410</v>
      </c>
      <c r="AC49" s="996" t="s">
        <v>1400</v>
      </c>
      <c r="AD49" s="990">
        <v>46247</v>
      </c>
      <c r="AE49" s="992">
        <v>46251</v>
      </c>
      <c r="AF49" s="992"/>
      <c r="AG49" s="807"/>
      <c r="AH49" s="1288" t="s">
        <v>968</v>
      </c>
      <c r="AI49" s="998" t="s">
        <v>1379</v>
      </c>
    </row>
    <row r="50" s="255" customFormat="1" ht="28.5" hidden="1" customHeight="1" spans="1:35">
      <c r="A50" s="971">
        <f t="shared" si="18"/>
        <v>47</v>
      </c>
      <c r="B50" s="35" t="s">
        <v>209</v>
      </c>
      <c r="C50" s="971" t="s">
        <v>909</v>
      </c>
      <c r="D50" s="971" t="s">
        <v>1281</v>
      </c>
      <c r="E50" s="48" t="s">
        <v>1282</v>
      </c>
      <c r="F50" s="989">
        <v>46154</v>
      </c>
      <c r="G50" s="989">
        <v>46254</v>
      </c>
      <c r="H50" s="989">
        <v>46254</v>
      </c>
      <c r="I50" s="989">
        <v>46177</v>
      </c>
      <c r="J50" s="971">
        <f t="shared" si="17"/>
        <v>0</v>
      </c>
      <c r="K50" s="971">
        <v>48</v>
      </c>
      <c r="L50" s="971">
        <v>1920</v>
      </c>
      <c r="M50" s="971">
        <v>1920</v>
      </c>
      <c r="N50" s="971">
        <v>1920</v>
      </c>
      <c r="O50" s="971">
        <v>1920</v>
      </c>
      <c r="P50" s="971">
        <v>1920</v>
      </c>
      <c r="Q50" s="971">
        <v>1920</v>
      </c>
      <c r="R50" s="971">
        <v>1920</v>
      </c>
      <c r="S50" s="971">
        <v>1920</v>
      </c>
      <c r="T50" s="971">
        <v>1920</v>
      </c>
      <c r="U50" s="971">
        <v>1920</v>
      </c>
      <c r="V50" s="971">
        <v>1920</v>
      </c>
      <c r="W50" s="971">
        <v>1920</v>
      </c>
      <c r="X50" s="971" t="s">
        <v>614</v>
      </c>
      <c r="Y50" s="971" t="s">
        <v>196</v>
      </c>
      <c r="Z50" s="971" t="s">
        <v>582</v>
      </c>
      <c r="AA50" s="971" t="s">
        <v>603</v>
      </c>
      <c r="AB50" s="971" t="s">
        <v>614</v>
      </c>
      <c r="AC50" s="35" t="s">
        <v>1374</v>
      </c>
      <c r="AD50" s="990">
        <v>46254</v>
      </c>
      <c r="AE50" s="992">
        <v>46254</v>
      </c>
      <c r="AF50" s="992"/>
      <c r="AG50" s="807">
        <v>46267</v>
      </c>
      <c r="AH50" s="1288" t="s">
        <v>1283</v>
      </c>
      <c r="AI50" s="255" t="s">
        <v>1375</v>
      </c>
    </row>
    <row r="51" s="255" customFormat="1" ht="28.5" customHeight="1" spans="1:35">
      <c r="A51" s="971">
        <f t="shared" si="18"/>
        <v>48</v>
      </c>
      <c r="B51" s="35" t="s">
        <v>209</v>
      </c>
      <c r="C51" s="971" t="s">
        <v>909</v>
      </c>
      <c r="D51" s="48" t="s">
        <v>969</v>
      </c>
      <c r="E51" s="48" t="s">
        <v>970</v>
      </c>
      <c r="F51" s="989">
        <v>46154</v>
      </c>
      <c r="G51" s="989">
        <v>46254</v>
      </c>
      <c r="H51" s="989">
        <v>46254</v>
      </c>
      <c r="I51" s="989">
        <v>46177</v>
      </c>
      <c r="J51" s="971">
        <f t="shared" si="17"/>
        <v>23040</v>
      </c>
      <c r="K51" s="971">
        <v>48</v>
      </c>
      <c r="L51" s="971">
        <v>1920</v>
      </c>
      <c r="M51" s="971">
        <v>1920</v>
      </c>
      <c r="N51" s="971">
        <v>1920</v>
      </c>
      <c r="O51" s="971">
        <v>1920</v>
      </c>
      <c r="P51" s="971">
        <v>1920</v>
      </c>
      <c r="Q51" s="971">
        <v>1920</v>
      </c>
      <c r="R51" s="971">
        <v>1920</v>
      </c>
      <c r="S51" s="971">
        <v>1920</v>
      </c>
      <c r="T51" s="971">
        <v>1920</v>
      </c>
      <c r="U51" s="971">
        <v>1920</v>
      </c>
      <c r="V51" s="971">
        <v>1920</v>
      </c>
      <c r="W51" s="971">
        <v>1920</v>
      </c>
      <c r="X51" s="971" t="s">
        <v>614</v>
      </c>
      <c r="Y51" s="971" t="s">
        <v>196</v>
      </c>
      <c r="Z51" s="971" t="s">
        <v>582</v>
      </c>
      <c r="AA51" s="971" t="s">
        <v>603</v>
      </c>
      <c r="AB51" s="971" t="s">
        <v>614</v>
      </c>
      <c r="AC51" s="35" t="s">
        <v>1374</v>
      </c>
      <c r="AD51" s="990">
        <v>46254</v>
      </c>
      <c r="AE51" s="992">
        <v>46254</v>
      </c>
      <c r="AF51" s="992"/>
      <c r="AG51" s="807"/>
      <c r="AH51" s="1288" t="s">
        <v>971</v>
      </c>
      <c r="AI51" s="255" t="s">
        <v>1375</v>
      </c>
    </row>
    <row r="52" s="255" customFormat="1" ht="28.5" hidden="1" customHeight="1" spans="1:35">
      <c r="A52" s="971">
        <f t="shared" si="18"/>
        <v>49</v>
      </c>
      <c r="B52" s="35" t="s">
        <v>209</v>
      </c>
      <c r="C52" s="971" t="s">
        <v>909</v>
      </c>
      <c r="D52" s="971" t="s">
        <v>972</v>
      </c>
      <c r="E52" s="48" t="s">
        <v>973</v>
      </c>
      <c r="F52" s="989">
        <v>46154</v>
      </c>
      <c r="G52" s="989">
        <v>46254</v>
      </c>
      <c r="H52" s="989">
        <v>46254</v>
      </c>
      <c r="I52" s="989">
        <v>46177</v>
      </c>
      <c r="J52" s="971">
        <f t="shared" si="17"/>
        <v>0</v>
      </c>
      <c r="K52" s="971">
        <v>48</v>
      </c>
      <c r="L52" s="971">
        <v>1920</v>
      </c>
      <c r="M52" s="971">
        <v>1920</v>
      </c>
      <c r="N52" s="971">
        <v>1920</v>
      </c>
      <c r="O52" s="971">
        <v>1920</v>
      </c>
      <c r="P52" s="971">
        <v>1920</v>
      </c>
      <c r="Q52" s="971">
        <v>1920</v>
      </c>
      <c r="R52" s="971">
        <v>1920</v>
      </c>
      <c r="S52" s="971">
        <v>1920</v>
      </c>
      <c r="T52" s="971">
        <v>1920</v>
      </c>
      <c r="U52" s="971">
        <v>1920</v>
      </c>
      <c r="V52" s="971">
        <v>1920</v>
      </c>
      <c r="W52" s="971">
        <v>1920</v>
      </c>
      <c r="X52" s="971" t="s">
        <v>614</v>
      </c>
      <c r="Y52" s="971" t="s">
        <v>196</v>
      </c>
      <c r="Z52" s="971" t="s">
        <v>582</v>
      </c>
      <c r="AA52" s="971" t="s">
        <v>603</v>
      </c>
      <c r="AB52" s="971" t="s">
        <v>614</v>
      </c>
      <c r="AC52" s="35" t="s">
        <v>1374</v>
      </c>
      <c r="AD52" s="990">
        <v>46254</v>
      </c>
      <c r="AE52" s="992">
        <v>46254</v>
      </c>
      <c r="AF52" s="992"/>
      <c r="AG52" s="807">
        <v>46277</v>
      </c>
      <c r="AH52" s="1288" t="s">
        <v>974</v>
      </c>
      <c r="AI52" s="255" t="s">
        <v>1375</v>
      </c>
    </row>
    <row r="53" s="255" customFormat="1" ht="28.5" hidden="1" customHeight="1" spans="1:35">
      <c r="A53" s="971">
        <f t="shared" si="18"/>
        <v>50</v>
      </c>
      <c r="B53" s="35" t="s">
        <v>209</v>
      </c>
      <c r="C53" s="971" t="s">
        <v>909</v>
      </c>
      <c r="D53" s="971" t="s">
        <v>975</v>
      </c>
      <c r="E53" s="48" t="s">
        <v>976</v>
      </c>
      <c r="F53" s="989">
        <v>46154</v>
      </c>
      <c r="G53" s="989">
        <v>46254</v>
      </c>
      <c r="H53" s="989">
        <v>46254</v>
      </c>
      <c r="I53" s="989">
        <v>46177</v>
      </c>
      <c r="J53" s="971">
        <f t="shared" si="17"/>
        <v>0</v>
      </c>
      <c r="K53" s="971">
        <v>48</v>
      </c>
      <c r="L53" s="971">
        <v>2400</v>
      </c>
      <c r="M53" s="971">
        <v>2400</v>
      </c>
      <c r="N53" s="971">
        <v>2400</v>
      </c>
      <c r="O53" s="971">
        <v>2400</v>
      </c>
      <c r="P53" s="971">
        <v>2400</v>
      </c>
      <c r="Q53" s="971">
        <v>2400</v>
      </c>
      <c r="R53" s="971">
        <v>2400</v>
      </c>
      <c r="S53" s="971">
        <v>2400</v>
      </c>
      <c r="T53" s="971">
        <v>2400</v>
      </c>
      <c r="U53" s="971">
        <v>2400</v>
      </c>
      <c r="V53" s="971">
        <v>2400</v>
      </c>
      <c r="W53" s="971">
        <v>2400</v>
      </c>
      <c r="X53" s="971" t="s">
        <v>614</v>
      </c>
      <c r="Y53" s="971" t="s">
        <v>196</v>
      </c>
      <c r="Z53" s="971" t="s">
        <v>582</v>
      </c>
      <c r="AA53" s="971" t="s">
        <v>603</v>
      </c>
      <c r="AB53" s="971" t="s">
        <v>614</v>
      </c>
      <c r="AC53" s="35" t="s">
        <v>1374</v>
      </c>
      <c r="AD53" s="990">
        <v>46254</v>
      </c>
      <c r="AE53" s="992">
        <v>46254</v>
      </c>
      <c r="AF53" s="992"/>
      <c r="AG53" s="807">
        <v>46277</v>
      </c>
      <c r="AH53" s="1288" t="s">
        <v>977</v>
      </c>
      <c r="AI53" s="255" t="s">
        <v>1375</v>
      </c>
    </row>
    <row r="54" s="255" customFormat="1" ht="28.5" hidden="1" customHeight="1" spans="1:35">
      <c r="A54" s="971">
        <f t="shared" si="18"/>
        <v>51</v>
      </c>
      <c r="B54" s="35" t="s">
        <v>209</v>
      </c>
      <c r="C54" s="971" t="s">
        <v>909</v>
      </c>
      <c r="D54" s="971" t="s">
        <v>1438</v>
      </c>
      <c r="E54" s="48" t="s">
        <v>1439</v>
      </c>
      <c r="F54" s="989">
        <v>46154</v>
      </c>
      <c r="G54" s="989">
        <v>46254</v>
      </c>
      <c r="H54" s="989">
        <v>46254</v>
      </c>
      <c r="I54" s="989">
        <v>46177</v>
      </c>
      <c r="J54" s="971">
        <f t="shared" si="17"/>
        <v>0</v>
      </c>
      <c r="K54" s="971">
        <v>48</v>
      </c>
      <c r="L54" s="971">
        <v>1920</v>
      </c>
      <c r="M54" s="971">
        <v>1920</v>
      </c>
      <c r="N54" s="971">
        <v>1920</v>
      </c>
      <c r="O54" s="971">
        <v>1920</v>
      </c>
      <c r="P54" s="971">
        <v>1920</v>
      </c>
      <c r="Q54" s="971">
        <v>1920</v>
      </c>
      <c r="R54" s="971">
        <v>1920</v>
      </c>
      <c r="S54" s="971">
        <v>1920</v>
      </c>
      <c r="T54" s="971">
        <v>1920</v>
      </c>
      <c r="U54" s="971">
        <v>1920</v>
      </c>
      <c r="V54" s="971">
        <v>1920</v>
      </c>
      <c r="W54" s="971">
        <v>1920</v>
      </c>
      <c r="X54" s="971" t="s">
        <v>614</v>
      </c>
      <c r="Y54" s="971" t="s">
        <v>196</v>
      </c>
      <c r="Z54" s="971" t="s">
        <v>582</v>
      </c>
      <c r="AA54" s="971" t="s">
        <v>603</v>
      </c>
      <c r="AB54" s="971" t="s">
        <v>614</v>
      </c>
      <c r="AC54" s="35" t="s">
        <v>1374</v>
      </c>
      <c r="AD54" s="990">
        <v>46254</v>
      </c>
      <c r="AE54" s="992">
        <v>46254</v>
      </c>
      <c r="AF54" s="992"/>
      <c r="AG54" s="807">
        <v>46273</v>
      </c>
      <c r="AH54" s="1288" t="s">
        <v>1440</v>
      </c>
      <c r="AI54" s="255" t="s">
        <v>1375</v>
      </c>
    </row>
    <row r="55" s="255" customFormat="1" ht="28.5" customHeight="1" spans="1:35">
      <c r="A55" s="971">
        <f t="shared" si="18"/>
        <v>52</v>
      </c>
      <c r="B55" s="35" t="s">
        <v>209</v>
      </c>
      <c r="C55" s="971" t="s">
        <v>909</v>
      </c>
      <c r="D55" s="971" t="s">
        <v>978</v>
      </c>
      <c r="E55" s="48" t="s">
        <v>979</v>
      </c>
      <c r="F55" s="989">
        <v>46154</v>
      </c>
      <c r="G55" s="989">
        <v>46254</v>
      </c>
      <c r="H55" s="989">
        <v>46254</v>
      </c>
      <c r="I55" s="989">
        <v>46177</v>
      </c>
      <c r="J55" s="971">
        <f t="shared" si="17"/>
        <v>34560</v>
      </c>
      <c r="K55" s="971">
        <v>48</v>
      </c>
      <c r="L55" s="971">
        <v>2880</v>
      </c>
      <c r="M55" s="971">
        <v>2880</v>
      </c>
      <c r="N55" s="971">
        <v>2880</v>
      </c>
      <c r="O55" s="971">
        <v>2880</v>
      </c>
      <c r="P55" s="971">
        <v>2880</v>
      </c>
      <c r="Q55" s="971">
        <v>2880</v>
      </c>
      <c r="R55" s="971">
        <v>2880</v>
      </c>
      <c r="S55" s="971">
        <v>2880</v>
      </c>
      <c r="T55" s="971">
        <v>2880</v>
      </c>
      <c r="U55" s="971">
        <v>2880</v>
      </c>
      <c r="V55" s="971">
        <v>2880</v>
      </c>
      <c r="W55" s="971">
        <v>2880</v>
      </c>
      <c r="X55" s="971" t="s">
        <v>614</v>
      </c>
      <c r="Y55" s="971" t="s">
        <v>196</v>
      </c>
      <c r="Z55" s="971" t="s">
        <v>582</v>
      </c>
      <c r="AA55" s="971" t="s">
        <v>603</v>
      </c>
      <c r="AB55" s="971" t="s">
        <v>614</v>
      </c>
      <c r="AC55" s="35" t="s">
        <v>1374</v>
      </c>
      <c r="AD55" s="990">
        <v>46254</v>
      </c>
      <c r="AE55" s="992">
        <v>46254</v>
      </c>
      <c r="AF55" s="992"/>
      <c r="AG55" s="807"/>
      <c r="AH55" s="1288" t="s">
        <v>980</v>
      </c>
      <c r="AI55" s="255" t="s">
        <v>1375</v>
      </c>
    </row>
    <row r="56" s="255" customFormat="1" ht="28.5" customHeight="1" spans="1:35">
      <c r="A56" s="971">
        <f t="shared" si="18"/>
        <v>53</v>
      </c>
      <c r="B56" s="35" t="s">
        <v>209</v>
      </c>
      <c r="C56" s="971" t="s">
        <v>909</v>
      </c>
      <c r="D56" s="971" t="s">
        <v>981</v>
      </c>
      <c r="E56" s="48" t="s">
        <v>982</v>
      </c>
      <c r="F56" s="989">
        <v>46154</v>
      </c>
      <c r="G56" s="989">
        <v>46254</v>
      </c>
      <c r="H56" s="989">
        <v>46254</v>
      </c>
      <c r="I56" s="989">
        <v>46177</v>
      </c>
      <c r="J56" s="971">
        <f t="shared" si="17"/>
        <v>34560</v>
      </c>
      <c r="K56" s="971">
        <v>48</v>
      </c>
      <c r="L56" s="971">
        <v>2880</v>
      </c>
      <c r="M56" s="971">
        <v>2880</v>
      </c>
      <c r="N56" s="971">
        <v>2880</v>
      </c>
      <c r="O56" s="971">
        <v>2880</v>
      </c>
      <c r="P56" s="971">
        <v>2880</v>
      </c>
      <c r="Q56" s="971">
        <v>2880</v>
      </c>
      <c r="R56" s="971">
        <v>2880</v>
      </c>
      <c r="S56" s="971">
        <v>2880</v>
      </c>
      <c r="T56" s="971">
        <v>2880</v>
      </c>
      <c r="U56" s="971">
        <v>2880</v>
      </c>
      <c r="V56" s="971">
        <v>2880</v>
      </c>
      <c r="W56" s="971">
        <v>2880</v>
      </c>
      <c r="X56" s="971" t="s">
        <v>614</v>
      </c>
      <c r="Y56" s="971" t="s">
        <v>196</v>
      </c>
      <c r="Z56" s="971" t="s">
        <v>582</v>
      </c>
      <c r="AA56" s="971" t="s">
        <v>603</v>
      </c>
      <c r="AB56" s="971" t="s">
        <v>614</v>
      </c>
      <c r="AC56" s="35" t="s">
        <v>1374</v>
      </c>
      <c r="AD56" s="990">
        <v>46254</v>
      </c>
      <c r="AE56" s="992">
        <v>46254</v>
      </c>
      <c r="AF56" s="992"/>
      <c r="AG56" s="807"/>
      <c r="AH56" s="1288" t="s">
        <v>983</v>
      </c>
      <c r="AI56" s="255" t="s">
        <v>1375</v>
      </c>
    </row>
    <row r="57" s="255" customFormat="1" ht="28.5" customHeight="1" spans="1:35">
      <c r="A57" s="971">
        <f t="shared" si="18"/>
        <v>54</v>
      </c>
      <c r="B57" s="35" t="s">
        <v>209</v>
      </c>
      <c r="C57" s="971" t="s">
        <v>909</v>
      </c>
      <c r="D57" s="971" t="s">
        <v>1441</v>
      </c>
      <c r="E57" s="971" t="s">
        <v>1442</v>
      </c>
      <c r="F57" s="989">
        <v>46154</v>
      </c>
      <c r="G57" s="989">
        <v>46226</v>
      </c>
      <c r="H57" s="989">
        <v>46226</v>
      </c>
      <c r="I57" s="989">
        <v>46177</v>
      </c>
      <c r="J57" s="971">
        <f t="shared" si="17"/>
        <v>23040</v>
      </c>
      <c r="K57" s="971">
        <v>48</v>
      </c>
      <c r="L57" s="971">
        <v>1920</v>
      </c>
      <c r="M57" s="971">
        <v>1920</v>
      </c>
      <c r="N57" s="971">
        <v>1920</v>
      </c>
      <c r="O57" s="971">
        <v>1920</v>
      </c>
      <c r="P57" s="971">
        <v>1920</v>
      </c>
      <c r="Q57" s="971">
        <v>1920</v>
      </c>
      <c r="R57" s="971">
        <v>1920</v>
      </c>
      <c r="S57" s="971">
        <v>1920</v>
      </c>
      <c r="T57" s="971">
        <v>1920</v>
      </c>
      <c r="U57" s="971">
        <v>1920</v>
      </c>
      <c r="V57" s="971">
        <v>1920</v>
      </c>
      <c r="W57" s="971">
        <v>1920</v>
      </c>
      <c r="X57" s="971" t="s">
        <v>1410</v>
      </c>
      <c r="Y57" s="971" t="s">
        <v>196</v>
      </c>
      <c r="Z57" s="971" t="s">
        <v>561</v>
      </c>
      <c r="AA57" s="971" t="s">
        <v>1411</v>
      </c>
      <c r="AB57" s="971" t="s">
        <v>1410</v>
      </c>
      <c r="AC57" s="996" t="s">
        <v>1421</v>
      </c>
      <c r="AD57" s="807">
        <v>46259</v>
      </c>
      <c r="AE57" s="992">
        <v>46260</v>
      </c>
      <c r="AF57" s="992"/>
      <c r="AG57" s="807"/>
      <c r="AH57" s="1288" t="s">
        <v>1443</v>
      </c>
      <c r="AI57" s="998" t="s">
        <v>1379</v>
      </c>
    </row>
    <row r="58" s="255" customFormat="1" ht="28.5" hidden="1" customHeight="1" spans="1:35">
      <c r="A58" s="971">
        <f t="shared" ref="A58:A71" si="19">ROW()-3</f>
        <v>55</v>
      </c>
      <c r="B58" s="35" t="s">
        <v>209</v>
      </c>
      <c r="C58" s="971" t="s">
        <v>909</v>
      </c>
      <c r="D58" s="971" t="s">
        <v>1247</v>
      </c>
      <c r="E58" s="48" t="s">
        <v>1248</v>
      </c>
      <c r="F58" s="989">
        <v>46170</v>
      </c>
      <c r="G58" s="989">
        <v>46261</v>
      </c>
      <c r="H58" s="989">
        <v>46261</v>
      </c>
      <c r="I58" s="989">
        <v>46196</v>
      </c>
      <c r="J58" s="971">
        <f t="shared" si="17"/>
        <v>0</v>
      </c>
      <c r="K58" s="971">
        <v>48</v>
      </c>
      <c r="L58" s="971">
        <v>1920</v>
      </c>
      <c r="M58" s="971">
        <v>1920</v>
      </c>
      <c r="N58" s="971">
        <v>1920</v>
      </c>
      <c r="O58" s="971">
        <v>1920</v>
      </c>
      <c r="P58" s="971">
        <v>1920</v>
      </c>
      <c r="Q58" s="971">
        <v>1920</v>
      </c>
      <c r="R58" s="971">
        <v>1920</v>
      </c>
      <c r="S58" s="971">
        <v>1920</v>
      </c>
      <c r="T58" s="971">
        <v>1920</v>
      </c>
      <c r="U58" s="971">
        <v>1920</v>
      </c>
      <c r="V58" s="971">
        <v>1920</v>
      </c>
      <c r="W58" s="971">
        <v>1920</v>
      </c>
      <c r="X58" s="971" t="s">
        <v>614</v>
      </c>
      <c r="Y58" s="971" t="s">
        <v>196</v>
      </c>
      <c r="Z58" s="971" t="s">
        <v>582</v>
      </c>
      <c r="AA58" s="971" t="s">
        <v>616</v>
      </c>
      <c r="AB58" s="971" t="s">
        <v>614</v>
      </c>
      <c r="AC58" s="35" t="s">
        <v>1374</v>
      </c>
      <c r="AD58" s="990">
        <v>46261</v>
      </c>
      <c r="AE58" s="992">
        <v>46260</v>
      </c>
      <c r="AF58" s="992"/>
      <c r="AG58" s="807">
        <v>46273</v>
      </c>
      <c r="AH58" s="971">
        <v>1003448936</v>
      </c>
      <c r="AI58" s="255" t="s">
        <v>1375</v>
      </c>
    </row>
    <row r="59" s="255" customFormat="1" ht="28.5" customHeight="1" spans="1:35">
      <c r="A59" s="971">
        <f t="shared" si="19"/>
        <v>56</v>
      </c>
      <c r="B59" s="35" t="s">
        <v>209</v>
      </c>
      <c r="C59" s="971" t="s">
        <v>909</v>
      </c>
      <c r="D59" s="971" t="s">
        <v>1271</v>
      </c>
      <c r="E59" s="48" t="s">
        <v>1272</v>
      </c>
      <c r="F59" s="989">
        <v>46170</v>
      </c>
      <c r="G59" s="989">
        <v>46268</v>
      </c>
      <c r="H59" s="989">
        <v>46268</v>
      </c>
      <c r="I59" s="989">
        <v>46196</v>
      </c>
      <c r="J59" s="971">
        <f t="shared" si="17"/>
        <v>23040</v>
      </c>
      <c r="K59" s="971">
        <v>48</v>
      </c>
      <c r="L59" s="971">
        <v>1920</v>
      </c>
      <c r="M59" s="971">
        <v>1920</v>
      </c>
      <c r="N59" s="971">
        <v>1920</v>
      </c>
      <c r="O59" s="971">
        <v>1920</v>
      </c>
      <c r="P59" s="971">
        <v>1920</v>
      </c>
      <c r="Q59" s="971">
        <v>1920</v>
      </c>
      <c r="R59" s="971">
        <v>1920</v>
      </c>
      <c r="S59" s="971">
        <v>1920</v>
      </c>
      <c r="T59" s="971">
        <v>1920</v>
      </c>
      <c r="U59" s="971">
        <v>1920</v>
      </c>
      <c r="V59" s="971">
        <v>1920</v>
      </c>
      <c r="W59" s="971">
        <v>1920</v>
      </c>
      <c r="X59" s="971" t="s">
        <v>1444</v>
      </c>
      <c r="Y59" s="971" t="s">
        <v>196</v>
      </c>
      <c r="Z59" s="971" t="s">
        <v>616</v>
      </c>
      <c r="AA59" s="971" t="s">
        <v>616</v>
      </c>
      <c r="AB59" s="971" t="s">
        <v>1444</v>
      </c>
      <c r="AC59" s="996" t="s">
        <v>1400</v>
      </c>
      <c r="AD59" s="990">
        <v>46268</v>
      </c>
      <c r="AE59" s="992">
        <v>46268</v>
      </c>
      <c r="AF59" s="992"/>
      <c r="AG59" s="807"/>
      <c r="AH59" s="970">
        <v>1003449394</v>
      </c>
      <c r="AI59" s="998" t="s">
        <v>1379</v>
      </c>
    </row>
    <row r="60" s="255" customFormat="1" ht="28.5" hidden="1" customHeight="1" spans="1:35">
      <c r="A60" s="971">
        <f t="shared" si="19"/>
        <v>57</v>
      </c>
      <c r="B60" s="35" t="s">
        <v>209</v>
      </c>
      <c r="C60" s="971" t="s">
        <v>909</v>
      </c>
      <c r="D60" s="971" t="s">
        <v>1273</v>
      </c>
      <c r="E60" s="48" t="s">
        <v>1274</v>
      </c>
      <c r="F60" s="989">
        <v>46170</v>
      </c>
      <c r="G60" s="989">
        <v>46268</v>
      </c>
      <c r="H60" s="989">
        <v>46268</v>
      </c>
      <c r="I60" s="989">
        <v>46196</v>
      </c>
      <c r="J60" s="971">
        <f t="shared" si="17"/>
        <v>0</v>
      </c>
      <c r="K60" s="971">
        <v>48</v>
      </c>
      <c r="L60" s="971">
        <v>1920</v>
      </c>
      <c r="M60" s="971">
        <v>1920</v>
      </c>
      <c r="N60" s="971">
        <v>1920</v>
      </c>
      <c r="O60" s="971">
        <v>1920</v>
      </c>
      <c r="P60" s="971">
        <v>1920</v>
      </c>
      <c r="Q60" s="971">
        <v>1920</v>
      </c>
      <c r="R60" s="971">
        <v>1920</v>
      </c>
      <c r="S60" s="971">
        <v>1920</v>
      </c>
      <c r="T60" s="971">
        <v>1920</v>
      </c>
      <c r="U60" s="971">
        <v>1920</v>
      </c>
      <c r="V60" s="971">
        <v>1920</v>
      </c>
      <c r="W60" s="971">
        <v>1920</v>
      </c>
      <c r="X60" s="971" t="s">
        <v>1444</v>
      </c>
      <c r="Y60" s="971" t="s">
        <v>196</v>
      </c>
      <c r="Z60" s="971" t="s">
        <v>616</v>
      </c>
      <c r="AA60" s="971" t="s">
        <v>616</v>
      </c>
      <c r="AB60" s="971" t="s">
        <v>1444</v>
      </c>
      <c r="AC60" s="35" t="s">
        <v>1374</v>
      </c>
      <c r="AD60" s="990">
        <v>46268</v>
      </c>
      <c r="AE60" s="992">
        <v>46268</v>
      </c>
      <c r="AF60" s="992"/>
      <c r="AG60" s="807">
        <v>46273</v>
      </c>
      <c r="AH60" s="970">
        <v>1003449412</v>
      </c>
      <c r="AI60" s="255" t="s">
        <v>1375</v>
      </c>
    </row>
    <row r="61" s="255" customFormat="1" ht="28.5" customHeight="1" spans="1:35">
      <c r="A61" s="971">
        <f t="shared" si="19"/>
        <v>58</v>
      </c>
      <c r="B61" s="35" t="s">
        <v>209</v>
      </c>
      <c r="C61" s="971" t="s">
        <v>909</v>
      </c>
      <c r="D61" s="971" t="s">
        <v>1275</v>
      </c>
      <c r="E61" s="999" t="s">
        <v>1276</v>
      </c>
      <c r="F61" s="989">
        <v>46170</v>
      </c>
      <c r="G61" s="989">
        <v>46268</v>
      </c>
      <c r="H61" s="989">
        <v>46268</v>
      </c>
      <c r="I61" s="989">
        <v>46196</v>
      </c>
      <c r="J61" s="971">
        <f t="shared" si="17"/>
        <v>23040</v>
      </c>
      <c r="K61" s="971">
        <v>48</v>
      </c>
      <c r="L61" s="971">
        <v>1920</v>
      </c>
      <c r="M61" s="971">
        <v>1920</v>
      </c>
      <c r="N61" s="971">
        <v>1920</v>
      </c>
      <c r="O61" s="971">
        <v>1920</v>
      </c>
      <c r="P61" s="971">
        <v>1920</v>
      </c>
      <c r="Q61" s="971">
        <v>1920</v>
      </c>
      <c r="R61" s="971">
        <v>1920</v>
      </c>
      <c r="S61" s="971">
        <v>1920</v>
      </c>
      <c r="T61" s="971">
        <v>1920</v>
      </c>
      <c r="U61" s="971">
        <v>1920</v>
      </c>
      <c r="V61" s="971">
        <v>1920</v>
      </c>
      <c r="W61" s="971">
        <v>1920</v>
      </c>
      <c r="X61" s="971" t="s">
        <v>1444</v>
      </c>
      <c r="Y61" s="971" t="s">
        <v>196</v>
      </c>
      <c r="Z61" s="971" t="s">
        <v>616</v>
      </c>
      <c r="AA61" s="971" t="s">
        <v>616</v>
      </c>
      <c r="AB61" s="971" t="s">
        <v>1444</v>
      </c>
      <c r="AC61" s="35" t="s">
        <v>1374</v>
      </c>
      <c r="AD61" s="990">
        <v>46268</v>
      </c>
      <c r="AE61" s="992">
        <v>46268</v>
      </c>
      <c r="AF61" s="992"/>
      <c r="AG61" s="807"/>
      <c r="AH61" s="970">
        <v>1003449455</v>
      </c>
      <c r="AI61" s="255" t="s">
        <v>1375</v>
      </c>
    </row>
    <row r="62" s="255" customFormat="1" ht="28.5" customHeight="1" spans="1:35">
      <c r="A62" s="971">
        <f t="shared" si="19"/>
        <v>59</v>
      </c>
      <c r="B62" s="35" t="s">
        <v>209</v>
      </c>
      <c r="C62" s="971" t="s">
        <v>909</v>
      </c>
      <c r="D62" s="971" t="s">
        <v>1279</v>
      </c>
      <c r="E62" s="48" t="s">
        <v>1280</v>
      </c>
      <c r="F62" s="989">
        <v>46170</v>
      </c>
      <c r="G62" s="989">
        <v>46268</v>
      </c>
      <c r="H62" s="989">
        <v>46268</v>
      </c>
      <c r="I62" s="989">
        <v>46196</v>
      </c>
      <c r="J62" s="971">
        <f t="shared" si="17"/>
        <v>23040</v>
      </c>
      <c r="K62" s="971">
        <v>48</v>
      </c>
      <c r="L62" s="971">
        <v>1920</v>
      </c>
      <c r="M62" s="971">
        <v>1920</v>
      </c>
      <c r="N62" s="971">
        <v>1920</v>
      </c>
      <c r="O62" s="971">
        <v>1920</v>
      </c>
      <c r="P62" s="971">
        <v>1920</v>
      </c>
      <c r="Q62" s="971">
        <v>1920</v>
      </c>
      <c r="R62" s="971">
        <v>1920</v>
      </c>
      <c r="S62" s="971">
        <v>1920</v>
      </c>
      <c r="T62" s="971">
        <v>1920</v>
      </c>
      <c r="U62" s="971">
        <v>1920</v>
      </c>
      <c r="V62" s="971">
        <v>1920</v>
      </c>
      <c r="W62" s="971">
        <v>1920</v>
      </c>
      <c r="X62" s="971" t="s">
        <v>1444</v>
      </c>
      <c r="Y62" s="971" t="s">
        <v>196</v>
      </c>
      <c r="Z62" s="971" t="s">
        <v>616</v>
      </c>
      <c r="AA62" s="971" t="s">
        <v>616</v>
      </c>
      <c r="AB62" s="971" t="s">
        <v>1444</v>
      </c>
      <c r="AC62" s="996" t="s">
        <v>1400</v>
      </c>
      <c r="AD62" s="990">
        <v>46268</v>
      </c>
      <c r="AE62" s="992">
        <v>46268</v>
      </c>
      <c r="AF62" s="992"/>
      <c r="AG62" s="807"/>
      <c r="AH62" s="970">
        <v>1003449485</v>
      </c>
      <c r="AI62" s="998" t="s">
        <v>1379</v>
      </c>
    </row>
    <row r="63" s="255" customFormat="1" ht="28.5" customHeight="1" spans="1:35">
      <c r="A63" s="972">
        <f t="shared" si="19"/>
        <v>60</v>
      </c>
      <c r="B63" s="60" t="s">
        <v>209</v>
      </c>
      <c r="C63" s="972" t="s">
        <v>909</v>
      </c>
      <c r="D63" s="972" t="s">
        <v>984</v>
      </c>
      <c r="E63" s="183" t="s">
        <v>985</v>
      </c>
      <c r="F63" s="973">
        <v>46170</v>
      </c>
      <c r="G63" s="973">
        <v>46275</v>
      </c>
      <c r="H63" s="973">
        <v>46275</v>
      </c>
      <c r="I63" s="973">
        <v>46196</v>
      </c>
      <c r="J63" s="972">
        <f t="shared" si="17"/>
        <v>23040</v>
      </c>
      <c r="K63" s="972">
        <v>48</v>
      </c>
      <c r="L63" s="972">
        <v>1920</v>
      </c>
      <c r="M63" s="972">
        <v>1920</v>
      </c>
      <c r="N63" s="972">
        <v>1920</v>
      </c>
      <c r="O63" s="972">
        <v>1920</v>
      </c>
      <c r="P63" s="972">
        <v>1920</v>
      </c>
      <c r="Q63" s="972">
        <v>1920</v>
      </c>
      <c r="R63" s="972">
        <v>1920</v>
      </c>
      <c r="S63" s="972">
        <v>1920</v>
      </c>
      <c r="T63" s="972">
        <v>1920</v>
      </c>
      <c r="U63" s="972">
        <v>1920</v>
      </c>
      <c r="V63" s="972">
        <v>1920</v>
      </c>
      <c r="W63" s="972">
        <v>1920</v>
      </c>
      <c r="X63" s="993" t="s">
        <v>1444</v>
      </c>
      <c r="Y63" s="972" t="s">
        <v>196</v>
      </c>
      <c r="Z63" s="972" t="s">
        <v>616</v>
      </c>
      <c r="AA63" s="972" t="s">
        <v>616</v>
      </c>
      <c r="AB63" s="972" t="s">
        <v>1444</v>
      </c>
      <c r="AC63" s="60" t="s">
        <v>1374</v>
      </c>
      <c r="AD63" s="1000">
        <v>46275</v>
      </c>
      <c r="AE63" s="1001">
        <v>46280</v>
      </c>
      <c r="AF63" s="1002"/>
      <c r="AG63" s="1003"/>
      <c r="AH63" s="1004">
        <v>1003448839</v>
      </c>
      <c r="AI63" s="255" t="s">
        <v>1375</v>
      </c>
    </row>
    <row r="64" s="255" customFormat="1" ht="28.5" customHeight="1" spans="1:35">
      <c r="A64" s="972">
        <f t="shared" si="19"/>
        <v>61</v>
      </c>
      <c r="B64" s="60" t="s">
        <v>209</v>
      </c>
      <c r="C64" s="972" t="s">
        <v>909</v>
      </c>
      <c r="D64" s="972" t="s">
        <v>1308</v>
      </c>
      <c r="E64" s="183" t="s">
        <v>1309</v>
      </c>
      <c r="F64" s="973">
        <v>46170</v>
      </c>
      <c r="G64" s="973">
        <v>46275</v>
      </c>
      <c r="H64" s="973">
        <v>46275</v>
      </c>
      <c r="I64" s="973">
        <v>46196</v>
      </c>
      <c r="J64" s="972">
        <f t="shared" si="17"/>
        <v>23040</v>
      </c>
      <c r="K64" s="972">
        <v>48</v>
      </c>
      <c r="L64" s="972">
        <v>1920</v>
      </c>
      <c r="M64" s="972">
        <v>1920</v>
      </c>
      <c r="N64" s="972">
        <v>1920</v>
      </c>
      <c r="O64" s="972">
        <v>1920</v>
      </c>
      <c r="P64" s="972">
        <v>1920</v>
      </c>
      <c r="Q64" s="972">
        <v>1920</v>
      </c>
      <c r="R64" s="972">
        <v>1920</v>
      </c>
      <c r="S64" s="972">
        <v>1920</v>
      </c>
      <c r="T64" s="972">
        <v>1920</v>
      </c>
      <c r="U64" s="972">
        <v>1920</v>
      </c>
      <c r="V64" s="972">
        <v>1920</v>
      </c>
      <c r="W64" s="972">
        <v>1920</v>
      </c>
      <c r="X64" s="993" t="s">
        <v>1444</v>
      </c>
      <c r="Y64" s="972" t="s">
        <v>196</v>
      </c>
      <c r="Z64" s="972" t="s">
        <v>616</v>
      </c>
      <c r="AA64" s="972" t="s">
        <v>616</v>
      </c>
      <c r="AB64" s="972" t="s">
        <v>1444</v>
      </c>
      <c r="AC64" s="60" t="s">
        <v>1374</v>
      </c>
      <c r="AD64" s="1000">
        <v>46275</v>
      </c>
      <c r="AE64" s="1001">
        <v>46280</v>
      </c>
      <c r="AF64" s="972"/>
      <c r="AG64" s="994"/>
      <c r="AH64" s="1005">
        <v>1003449273</v>
      </c>
      <c r="AI64" s="255" t="s">
        <v>1375</v>
      </c>
    </row>
    <row r="65" s="255" customFormat="1" ht="28.5" customHeight="1" spans="1:36">
      <c r="A65" s="972">
        <f t="shared" si="19"/>
        <v>62</v>
      </c>
      <c r="B65" s="60" t="s">
        <v>209</v>
      </c>
      <c r="C65" s="972" t="s">
        <v>909</v>
      </c>
      <c r="D65" s="972" t="s">
        <v>1310</v>
      </c>
      <c r="E65" s="183" t="s">
        <v>1311</v>
      </c>
      <c r="F65" s="973">
        <v>46170</v>
      </c>
      <c r="G65" s="973">
        <v>46275</v>
      </c>
      <c r="H65" s="973">
        <v>46275</v>
      </c>
      <c r="I65" s="973">
        <v>46196</v>
      </c>
      <c r="J65" s="972">
        <f t="shared" si="17"/>
        <v>23040</v>
      </c>
      <c r="K65" s="972">
        <v>48</v>
      </c>
      <c r="L65" s="972">
        <v>1920</v>
      </c>
      <c r="M65" s="972">
        <v>1920</v>
      </c>
      <c r="N65" s="972">
        <v>1920</v>
      </c>
      <c r="O65" s="972">
        <v>1920</v>
      </c>
      <c r="P65" s="972">
        <v>1920</v>
      </c>
      <c r="Q65" s="972">
        <v>1920</v>
      </c>
      <c r="R65" s="972">
        <v>1920</v>
      </c>
      <c r="S65" s="972">
        <v>1920</v>
      </c>
      <c r="T65" s="972">
        <v>1920</v>
      </c>
      <c r="U65" s="972">
        <v>1920</v>
      </c>
      <c r="V65" s="972">
        <v>1920</v>
      </c>
      <c r="W65" s="972">
        <v>1920</v>
      </c>
      <c r="X65" s="993" t="s">
        <v>1444</v>
      </c>
      <c r="Y65" s="972" t="s">
        <v>196</v>
      </c>
      <c r="Z65" s="972" t="s">
        <v>616</v>
      </c>
      <c r="AA65" s="972" t="s">
        <v>616</v>
      </c>
      <c r="AB65" s="972" t="s">
        <v>1444</v>
      </c>
      <c r="AC65" s="60" t="s">
        <v>1374</v>
      </c>
      <c r="AD65" s="1000">
        <v>46275</v>
      </c>
      <c r="AE65" s="1001">
        <v>46280</v>
      </c>
      <c r="AF65" s="972"/>
      <c r="AG65" s="994"/>
      <c r="AH65" s="1005">
        <v>1003449352</v>
      </c>
      <c r="AI65" s="255" t="s">
        <v>1375</v>
      </c>
    </row>
    <row r="66" s="255" customFormat="1" ht="28.5" customHeight="1" spans="1:36">
      <c r="A66" s="971">
        <f t="shared" si="19"/>
        <v>63</v>
      </c>
      <c r="B66" s="35" t="s">
        <v>209</v>
      </c>
      <c r="C66" s="971" t="s">
        <v>909</v>
      </c>
      <c r="D66" s="971" t="s">
        <v>1312</v>
      </c>
      <c r="E66" s="48" t="s">
        <v>1313</v>
      </c>
      <c r="F66" s="989">
        <v>46170</v>
      </c>
      <c r="G66" s="989">
        <v>46275</v>
      </c>
      <c r="H66" s="989">
        <v>46275</v>
      </c>
      <c r="I66" s="989">
        <v>46196</v>
      </c>
      <c r="J66" s="971">
        <f t="shared" si="17"/>
        <v>23040</v>
      </c>
      <c r="K66" s="971">
        <v>48</v>
      </c>
      <c r="L66" s="971">
        <v>1920</v>
      </c>
      <c r="M66" s="971">
        <v>1920</v>
      </c>
      <c r="N66" s="971">
        <v>1920</v>
      </c>
      <c r="O66" s="971">
        <v>1920</v>
      </c>
      <c r="P66" s="971">
        <v>1920</v>
      </c>
      <c r="Q66" s="971">
        <v>1920</v>
      </c>
      <c r="R66" s="971">
        <v>1920</v>
      </c>
      <c r="S66" s="971">
        <v>1920</v>
      </c>
      <c r="T66" s="971">
        <v>1920</v>
      </c>
      <c r="U66" s="971">
        <v>1920</v>
      </c>
      <c r="V66" s="971">
        <v>1920</v>
      </c>
      <c r="W66" s="971">
        <v>1920</v>
      </c>
      <c r="X66" s="971" t="s">
        <v>1444</v>
      </c>
      <c r="Y66" s="971" t="s">
        <v>196</v>
      </c>
      <c r="Z66" s="971" t="s">
        <v>616</v>
      </c>
      <c r="AA66" s="971" t="s">
        <v>616</v>
      </c>
      <c r="AB66" s="971" t="s">
        <v>1444</v>
      </c>
      <c r="AC66" s="35" t="s">
        <v>1374</v>
      </c>
      <c r="AD66" s="990">
        <v>46275</v>
      </c>
      <c r="AE66" s="995">
        <v>46276</v>
      </c>
      <c r="AF66" s="971"/>
      <c r="AG66" s="990"/>
      <c r="AH66" s="971">
        <v>1003449393</v>
      </c>
      <c r="AI66" s="255" t="s">
        <v>1375</v>
      </c>
    </row>
    <row r="67" s="255" customFormat="1" ht="28.5" customHeight="1" spans="1:36">
      <c r="A67" s="972">
        <f t="shared" si="19"/>
        <v>64</v>
      </c>
      <c r="B67" s="60" t="s">
        <v>209</v>
      </c>
      <c r="C67" s="972" t="s">
        <v>909</v>
      </c>
      <c r="D67" s="972" t="s">
        <v>988</v>
      </c>
      <c r="E67" s="183" t="s">
        <v>989</v>
      </c>
      <c r="F67" s="973">
        <v>46170</v>
      </c>
      <c r="G67" s="973">
        <v>46282</v>
      </c>
      <c r="H67" s="973">
        <v>46282</v>
      </c>
      <c r="I67" s="973">
        <v>46196</v>
      </c>
      <c r="J67" s="972">
        <f t="shared" si="17"/>
        <v>23040</v>
      </c>
      <c r="K67" s="972">
        <v>48</v>
      </c>
      <c r="L67" s="972">
        <v>1920</v>
      </c>
      <c r="M67" s="972">
        <v>1920</v>
      </c>
      <c r="N67" s="972">
        <v>1920</v>
      </c>
      <c r="O67" s="972">
        <v>1920</v>
      </c>
      <c r="P67" s="972">
        <v>1920</v>
      </c>
      <c r="Q67" s="972">
        <v>1920</v>
      </c>
      <c r="R67" s="972">
        <v>1920</v>
      </c>
      <c r="S67" s="972">
        <v>1920</v>
      </c>
      <c r="T67" s="972">
        <v>1920</v>
      </c>
      <c r="U67" s="972">
        <v>1920</v>
      </c>
      <c r="V67" s="972">
        <v>1920</v>
      </c>
      <c r="W67" s="972">
        <v>1920</v>
      </c>
      <c r="X67" s="993" t="s">
        <v>1444</v>
      </c>
      <c r="Y67" s="972" t="s">
        <v>196</v>
      </c>
      <c r="Z67" s="972" t="s">
        <v>616</v>
      </c>
      <c r="AA67" s="972" t="s">
        <v>616</v>
      </c>
      <c r="AB67" s="972" t="s">
        <v>1444</v>
      </c>
      <c r="AC67" s="60" t="s">
        <v>1374</v>
      </c>
      <c r="AD67" s="1000">
        <v>46282</v>
      </c>
      <c r="AE67" s="1001"/>
      <c r="AF67" s="972"/>
      <c r="AG67" s="994"/>
      <c r="AH67" s="972">
        <v>1003449501</v>
      </c>
      <c r="AI67" s="255" t="s">
        <v>1375</v>
      </c>
    </row>
    <row r="68" s="255" customFormat="1" ht="28.5" customHeight="1" spans="1:36">
      <c r="A68" s="972">
        <f t="shared" si="19"/>
        <v>65</v>
      </c>
      <c r="B68" s="60" t="s">
        <v>209</v>
      </c>
      <c r="C68" s="972" t="s">
        <v>909</v>
      </c>
      <c r="D68" s="972" t="s">
        <v>1314</v>
      </c>
      <c r="E68" s="183" t="s">
        <v>1315</v>
      </c>
      <c r="F68" s="973">
        <v>46170</v>
      </c>
      <c r="G68" s="973">
        <v>46282</v>
      </c>
      <c r="H68" s="973">
        <v>46282</v>
      </c>
      <c r="I68" s="973">
        <v>46196</v>
      </c>
      <c r="J68" s="972">
        <f t="shared" si="17"/>
        <v>23040</v>
      </c>
      <c r="K68" s="972">
        <v>48</v>
      </c>
      <c r="L68" s="972">
        <v>1920</v>
      </c>
      <c r="M68" s="972">
        <v>1920</v>
      </c>
      <c r="N68" s="972">
        <v>1920</v>
      </c>
      <c r="O68" s="972">
        <v>1920</v>
      </c>
      <c r="P68" s="972">
        <v>1920</v>
      </c>
      <c r="Q68" s="972">
        <v>1920</v>
      </c>
      <c r="R68" s="972">
        <v>1920</v>
      </c>
      <c r="S68" s="972">
        <v>1920</v>
      </c>
      <c r="T68" s="972">
        <v>1920</v>
      </c>
      <c r="U68" s="972">
        <v>1920</v>
      </c>
      <c r="V68" s="972">
        <v>1920</v>
      </c>
      <c r="W68" s="972">
        <v>1920</v>
      </c>
      <c r="X68" s="993" t="s">
        <v>1444</v>
      </c>
      <c r="Y68" s="972" t="s">
        <v>196</v>
      </c>
      <c r="Z68" s="972" t="s">
        <v>616</v>
      </c>
      <c r="AA68" s="972" t="s">
        <v>616</v>
      </c>
      <c r="AB68" s="972" t="s">
        <v>1444</v>
      </c>
      <c r="AC68" s="60" t="s">
        <v>1374</v>
      </c>
      <c r="AD68" s="1000">
        <v>46282</v>
      </c>
      <c r="AE68" s="1001"/>
      <c r="AF68" s="972"/>
      <c r="AG68" s="994"/>
      <c r="AH68" s="972">
        <v>1003449508</v>
      </c>
      <c r="AI68" s="255" t="s">
        <v>1375</v>
      </c>
    </row>
    <row r="69" s="255" customFormat="1" ht="28.5" customHeight="1" spans="1:36">
      <c r="A69" s="972">
        <f t="shared" si="19"/>
        <v>66</v>
      </c>
      <c r="B69" s="60" t="s">
        <v>209</v>
      </c>
      <c r="C69" s="972" t="s">
        <v>909</v>
      </c>
      <c r="D69" s="972" t="s">
        <v>1316</v>
      </c>
      <c r="E69" s="183" t="s">
        <v>1317</v>
      </c>
      <c r="F69" s="973">
        <v>46170</v>
      </c>
      <c r="G69" s="973">
        <v>46282</v>
      </c>
      <c r="H69" s="973">
        <v>46282</v>
      </c>
      <c r="I69" s="973">
        <v>46196</v>
      </c>
      <c r="J69" s="972">
        <f t="shared" si="17"/>
        <v>23040</v>
      </c>
      <c r="K69" s="972">
        <v>48</v>
      </c>
      <c r="L69" s="972">
        <v>1920</v>
      </c>
      <c r="M69" s="972">
        <v>1920</v>
      </c>
      <c r="N69" s="972">
        <v>1920</v>
      </c>
      <c r="O69" s="972">
        <v>1920</v>
      </c>
      <c r="P69" s="972">
        <v>1920</v>
      </c>
      <c r="Q69" s="972">
        <v>1920</v>
      </c>
      <c r="R69" s="972">
        <v>1920</v>
      </c>
      <c r="S69" s="972">
        <v>1920</v>
      </c>
      <c r="T69" s="972">
        <v>1920</v>
      </c>
      <c r="U69" s="972">
        <v>1920</v>
      </c>
      <c r="V69" s="972">
        <v>1920</v>
      </c>
      <c r="W69" s="972">
        <v>1920</v>
      </c>
      <c r="X69" s="993" t="s">
        <v>1444</v>
      </c>
      <c r="Y69" s="972" t="s">
        <v>196</v>
      </c>
      <c r="Z69" s="972" t="s">
        <v>616</v>
      </c>
      <c r="AA69" s="972" t="s">
        <v>616</v>
      </c>
      <c r="AB69" s="972" t="s">
        <v>1444</v>
      </c>
      <c r="AC69" s="60" t="s">
        <v>1374</v>
      </c>
      <c r="AD69" s="1000">
        <v>46282</v>
      </c>
      <c r="AE69" s="1001"/>
      <c r="AF69" s="972"/>
      <c r="AG69" s="994"/>
      <c r="AH69" s="972">
        <v>1003449527</v>
      </c>
      <c r="AI69" s="255" t="s">
        <v>1375</v>
      </c>
    </row>
    <row r="70" s="255" customFormat="1" ht="28.5" customHeight="1" spans="1:36">
      <c r="A70" s="972">
        <f t="shared" si="19"/>
        <v>67</v>
      </c>
      <c r="B70" s="1006" t="s">
        <v>1445</v>
      </c>
      <c r="C70" s="972" t="s">
        <v>114</v>
      </c>
      <c r="D70" s="972" t="s">
        <v>1343</v>
      </c>
      <c r="E70" s="183" t="s">
        <v>1344</v>
      </c>
      <c r="F70" s="973">
        <v>46191</v>
      </c>
      <c r="G70" s="973">
        <v>46283</v>
      </c>
      <c r="H70" s="973">
        <v>46283</v>
      </c>
      <c r="I70" s="973">
        <v>46213</v>
      </c>
      <c r="J70" s="972">
        <f t="shared" si="17"/>
        <v>3600</v>
      </c>
      <c r="K70" s="972">
        <v>48</v>
      </c>
      <c r="L70" s="972">
        <v>300</v>
      </c>
      <c r="M70" s="972">
        <v>300</v>
      </c>
      <c r="N70" s="972">
        <v>300</v>
      </c>
      <c r="O70" s="972">
        <v>300</v>
      </c>
      <c r="P70" s="972">
        <v>300</v>
      </c>
      <c r="Q70" s="972">
        <v>300</v>
      </c>
      <c r="R70" s="972">
        <v>300</v>
      </c>
      <c r="S70" s="972">
        <v>300</v>
      </c>
      <c r="T70" s="972">
        <v>300</v>
      </c>
      <c r="U70" s="972">
        <v>300</v>
      </c>
      <c r="V70" s="972">
        <v>300</v>
      </c>
      <c r="W70" s="972">
        <v>300</v>
      </c>
      <c r="X70" s="1007" t="s">
        <v>1444</v>
      </c>
      <c r="Y70" s="972" t="s">
        <v>196</v>
      </c>
      <c r="Z70" s="972" t="s">
        <v>629</v>
      </c>
      <c r="AA70" s="972" t="s">
        <v>629</v>
      </c>
      <c r="AB70" s="1008" t="s">
        <v>1444</v>
      </c>
      <c r="AC70" s="60" t="s">
        <v>1446</v>
      </c>
      <c r="AD70" s="1000">
        <v>46283</v>
      </c>
      <c r="AE70" s="1001"/>
      <c r="AF70" s="972"/>
      <c r="AG70" s="994"/>
      <c r="AH70" s="972" t="s">
        <v>1346</v>
      </c>
      <c r="AI70" s="255" t="s">
        <v>1379</v>
      </c>
    </row>
    <row r="71" s="255" customFormat="1" ht="28.5" customHeight="1" spans="1:36">
      <c r="A71" s="972">
        <f t="shared" si="19"/>
        <v>68</v>
      </c>
      <c r="B71" s="60" t="s">
        <v>209</v>
      </c>
      <c r="C71" s="972" t="s">
        <v>909</v>
      </c>
      <c r="D71" s="972" t="s">
        <v>1447</v>
      </c>
      <c r="E71" s="183" t="s">
        <v>1448</v>
      </c>
      <c r="F71" s="973">
        <v>46183</v>
      </c>
      <c r="G71" s="973">
        <v>46287</v>
      </c>
      <c r="H71" s="973">
        <v>46287</v>
      </c>
      <c r="I71" s="973">
        <v>46212</v>
      </c>
      <c r="J71" s="972">
        <f t="shared" ref="J71:J82" si="20">SUBTOTAL(9,L71:W71)</f>
        <v>34560</v>
      </c>
      <c r="K71" s="972">
        <v>48</v>
      </c>
      <c r="L71" s="972">
        <v>2880</v>
      </c>
      <c r="M71" s="972">
        <v>2880</v>
      </c>
      <c r="N71" s="972">
        <v>2880</v>
      </c>
      <c r="O71" s="972">
        <v>2880</v>
      </c>
      <c r="P71" s="972">
        <v>2880</v>
      </c>
      <c r="Q71" s="972">
        <v>2880</v>
      </c>
      <c r="R71" s="972">
        <v>2880</v>
      </c>
      <c r="S71" s="972">
        <v>2880</v>
      </c>
      <c r="T71" s="972">
        <v>2880</v>
      </c>
      <c r="U71" s="972">
        <v>2880</v>
      </c>
      <c r="V71" s="972">
        <v>2880</v>
      </c>
      <c r="W71" s="972">
        <v>2880</v>
      </c>
      <c r="X71" s="993" t="s">
        <v>1444</v>
      </c>
      <c r="Y71" s="972" t="s">
        <v>196</v>
      </c>
      <c r="Z71" s="972" t="s">
        <v>616</v>
      </c>
      <c r="AA71" s="972" t="s">
        <v>616</v>
      </c>
      <c r="AB71" s="972" t="s">
        <v>1444</v>
      </c>
      <c r="AC71" s="60" t="s">
        <v>1374</v>
      </c>
      <c r="AD71" s="1000">
        <v>46286</v>
      </c>
      <c r="AE71" s="1001"/>
      <c r="AF71" s="972"/>
      <c r="AG71" s="994"/>
      <c r="AH71" s="1290" t="s">
        <v>1449</v>
      </c>
      <c r="AI71" s="255" t="s">
        <v>1375</v>
      </c>
      <c r="AJ71" s="255" t="s">
        <v>1450</v>
      </c>
    </row>
    <row r="72" s="255" customFormat="1" ht="28.5" customHeight="1" spans="1:36">
      <c r="A72" s="972">
        <f t="shared" ref="A72:A81" si="21">ROW()-3</f>
        <v>69</v>
      </c>
      <c r="B72" s="60" t="s">
        <v>209</v>
      </c>
      <c r="C72" s="972" t="s">
        <v>909</v>
      </c>
      <c r="D72" s="972" t="s">
        <v>1451</v>
      </c>
      <c r="E72" s="183" t="s">
        <v>1452</v>
      </c>
      <c r="F72" s="973">
        <v>46183</v>
      </c>
      <c r="G72" s="973">
        <v>46287</v>
      </c>
      <c r="H72" s="973">
        <v>46287</v>
      </c>
      <c r="I72" s="973">
        <v>46212</v>
      </c>
      <c r="J72" s="972">
        <f t="shared" si="20"/>
        <v>40320</v>
      </c>
      <c r="K72" s="972">
        <v>48</v>
      </c>
      <c r="L72" s="972">
        <v>3360</v>
      </c>
      <c r="M72" s="972">
        <v>3360</v>
      </c>
      <c r="N72" s="972">
        <v>3360</v>
      </c>
      <c r="O72" s="972">
        <v>3360</v>
      </c>
      <c r="P72" s="972">
        <v>3360</v>
      </c>
      <c r="Q72" s="972">
        <v>3360</v>
      </c>
      <c r="R72" s="972">
        <v>3360</v>
      </c>
      <c r="S72" s="972">
        <v>3360</v>
      </c>
      <c r="T72" s="972">
        <v>3360</v>
      </c>
      <c r="U72" s="972">
        <v>3360</v>
      </c>
      <c r="V72" s="972">
        <v>3360</v>
      </c>
      <c r="W72" s="972">
        <v>3360</v>
      </c>
      <c r="X72" s="993" t="s">
        <v>1444</v>
      </c>
      <c r="Y72" s="972" t="s">
        <v>196</v>
      </c>
      <c r="Z72" s="972" t="s">
        <v>616</v>
      </c>
      <c r="AA72" s="972" t="s">
        <v>616</v>
      </c>
      <c r="AB72" s="972" t="s">
        <v>1444</v>
      </c>
      <c r="AC72" s="60" t="s">
        <v>1374</v>
      </c>
      <c r="AD72" s="1000">
        <v>46286</v>
      </c>
      <c r="AE72" s="1001"/>
      <c r="AF72" s="972"/>
      <c r="AG72" s="994"/>
      <c r="AH72" s="1290" t="s">
        <v>1453</v>
      </c>
      <c r="AI72" s="255" t="s">
        <v>1375</v>
      </c>
      <c r="AJ72" s="255" t="s">
        <v>1450</v>
      </c>
    </row>
    <row r="73" s="255" customFormat="1" ht="28.5" customHeight="1" spans="1:36">
      <c r="A73" s="972">
        <f t="shared" si="21"/>
        <v>70</v>
      </c>
      <c r="B73" s="60" t="s">
        <v>209</v>
      </c>
      <c r="C73" s="972" t="s">
        <v>909</v>
      </c>
      <c r="D73" s="972" t="s">
        <v>1454</v>
      </c>
      <c r="E73" s="183" t="s">
        <v>1455</v>
      </c>
      <c r="F73" s="973">
        <v>46183</v>
      </c>
      <c r="G73" s="973">
        <v>46287</v>
      </c>
      <c r="H73" s="973">
        <v>46287</v>
      </c>
      <c r="I73" s="973">
        <v>46212</v>
      </c>
      <c r="J73" s="972">
        <f t="shared" si="20"/>
        <v>28800</v>
      </c>
      <c r="K73" s="972">
        <v>48</v>
      </c>
      <c r="L73" s="972">
        <v>2400</v>
      </c>
      <c r="M73" s="972">
        <v>2400</v>
      </c>
      <c r="N73" s="972">
        <v>2400</v>
      </c>
      <c r="O73" s="972">
        <v>2400</v>
      </c>
      <c r="P73" s="972">
        <v>2400</v>
      </c>
      <c r="Q73" s="972">
        <v>2400</v>
      </c>
      <c r="R73" s="972">
        <v>2400</v>
      </c>
      <c r="S73" s="972">
        <v>2400</v>
      </c>
      <c r="T73" s="972">
        <v>2400</v>
      </c>
      <c r="U73" s="972">
        <v>2400</v>
      </c>
      <c r="V73" s="972">
        <v>2400</v>
      </c>
      <c r="W73" s="972">
        <v>2400</v>
      </c>
      <c r="X73" s="993" t="s">
        <v>1444</v>
      </c>
      <c r="Y73" s="972" t="s">
        <v>196</v>
      </c>
      <c r="Z73" s="972" t="s">
        <v>616</v>
      </c>
      <c r="AA73" s="972" t="s">
        <v>616</v>
      </c>
      <c r="AB73" s="972" t="s">
        <v>1444</v>
      </c>
      <c r="AC73" s="60" t="s">
        <v>1374</v>
      </c>
      <c r="AD73" s="1000">
        <v>46286</v>
      </c>
      <c r="AE73" s="1001"/>
      <c r="AF73" s="972"/>
      <c r="AG73" s="994"/>
      <c r="AH73" s="1290" t="s">
        <v>1456</v>
      </c>
      <c r="AI73" s="255" t="s">
        <v>1375</v>
      </c>
      <c r="AJ73" s="255" t="s">
        <v>1450</v>
      </c>
    </row>
    <row r="74" s="255" customFormat="1" ht="28.5" customHeight="1" spans="1:36">
      <c r="A74" s="972">
        <f t="shared" si="21"/>
        <v>71</v>
      </c>
      <c r="B74" s="60" t="s">
        <v>209</v>
      </c>
      <c r="C74" s="972" t="s">
        <v>909</v>
      </c>
      <c r="D74" s="972" t="s">
        <v>1457</v>
      </c>
      <c r="E74" s="183" t="s">
        <v>1458</v>
      </c>
      <c r="F74" s="973">
        <v>46183</v>
      </c>
      <c r="G74" s="973">
        <v>46287</v>
      </c>
      <c r="H74" s="973">
        <v>46287</v>
      </c>
      <c r="I74" s="973">
        <v>46212</v>
      </c>
      <c r="J74" s="972">
        <f t="shared" si="20"/>
        <v>23040</v>
      </c>
      <c r="K74" s="972">
        <v>48</v>
      </c>
      <c r="L74" s="972">
        <v>1920</v>
      </c>
      <c r="M74" s="972">
        <v>1920</v>
      </c>
      <c r="N74" s="972">
        <v>1920</v>
      </c>
      <c r="O74" s="972">
        <v>1920</v>
      </c>
      <c r="P74" s="972">
        <v>1920</v>
      </c>
      <c r="Q74" s="972">
        <v>1920</v>
      </c>
      <c r="R74" s="972">
        <v>1920</v>
      </c>
      <c r="S74" s="972">
        <v>1920</v>
      </c>
      <c r="T74" s="972">
        <v>1920</v>
      </c>
      <c r="U74" s="972">
        <v>1920</v>
      </c>
      <c r="V74" s="972">
        <v>1920</v>
      </c>
      <c r="W74" s="972">
        <v>1920</v>
      </c>
      <c r="X74" s="993" t="s">
        <v>1444</v>
      </c>
      <c r="Y74" s="972" t="s">
        <v>196</v>
      </c>
      <c r="Z74" s="972" t="s">
        <v>616</v>
      </c>
      <c r="AA74" s="972" t="s">
        <v>616</v>
      </c>
      <c r="AB74" s="972" t="s">
        <v>1444</v>
      </c>
      <c r="AC74" s="60" t="s">
        <v>1374</v>
      </c>
      <c r="AD74" s="1000">
        <v>46286</v>
      </c>
      <c r="AE74" s="1001"/>
      <c r="AF74" s="972"/>
      <c r="AG74" s="994"/>
      <c r="AH74" s="1290" t="s">
        <v>1459</v>
      </c>
      <c r="AI74" s="255" t="s">
        <v>1375</v>
      </c>
      <c r="AJ74" s="255" t="s">
        <v>1450</v>
      </c>
    </row>
    <row r="75" s="255" customFormat="1" ht="28.5" customHeight="1" spans="1:36">
      <c r="A75" s="972">
        <f t="shared" si="21"/>
        <v>72</v>
      </c>
      <c r="B75" s="60" t="s">
        <v>209</v>
      </c>
      <c r="C75" s="972" t="s">
        <v>909</v>
      </c>
      <c r="D75" s="972" t="s">
        <v>1460</v>
      </c>
      <c r="E75" s="183" t="s">
        <v>1461</v>
      </c>
      <c r="F75" s="973">
        <v>46183</v>
      </c>
      <c r="G75" s="973">
        <v>46287</v>
      </c>
      <c r="H75" s="973">
        <v>46287</v>
      </c>
      <c r="I75" s="973">
        <v>46212</v>
      </c>
      <c r="J75" s="972">
        <f t="shared" si="20"/>
        <v>23040</v>
      </c>
      <c r="K75" s="972">
        <v>48</v>
      </c>
      <c r="L75" s="972">
        <v>1920</v>
      </c>
      <c r="M75" s="972">
        <v>1920</v>
      </c>
      <c r="N75" s="972">
        <v>1920</v>
      </c>
      <c r="O75" s="972">
        <v>1920</v>
      </c>
      <c r="P75" s="972">
        <v>1920</v>
      </c>
      <c r="Q75" s="972">
        <v>1920</v>
      </c>
      <c r="R75" s="972">
        <v>1920</v>
      </c>
      <c r="S75" s="972">
        <v>1920</v>
      </c>
      <c r="T75" s="972">
        <v>1920</v>
      </c>
      <c r="U75" s="972">
        <v>1920</v>
      </c>
      <c r="V75" s="972">
        <v>1920</v>
      </c>
      <c r="W75" s="972">
        <v>1920</v>
      </c>
      <c r="X75" s="993" t="s">
        <v>1444</v>
      </c>
      <c r="Y75" s="972" t="s">
        <v>196</v>
      </c>
      <c r="Z75" s="972" t="s">
        <v>616</v>
      </c>
      <c r="AA75" s="972" t="s">
        <v>616</v>
      </c>
      <c r="AB75" s="972" t="s">
        <v>1444</v>
      </c>
      <c r="AC75" s="60" t="s">
        <v>1374</v>
      </c>
      <c r="AD75" s="1000">
        <v>46286</v>
      </c>
      <c r="AE75" s="1001"/>
      <c r="AF75" s="972"/>
      <c r="AG75" s="994"/>
      <c r="AH75" s="1290" t="s">
        <v>1462</v>
      </c>
      <c r="AI75" s="255" t="s">
        <v>1375</v>
      </c>
      <c r="AJ75" s="255" t="s">
        <v>1450</v>
      </c>
    </row>
    <row r="76" s="255" customFormat="1" ht="28.5" customHeight="1" spans="1:36">
      <c r="A76" s="972">
        <f t="shared" si="21"/>
        <v>73</v>
      </c>
      <c r="B76" s="60" t="s">
        <v>209</v>
      </c>
      <c r="C76" s="972" t="s">
        <v>909</v>
      </c>
      <c r="D76" s="972" t="s">
        <v>1463</v>
      </c>
      <c r="E76" s="183" t="s">
        <v>1464</v>
      </c>
      <c r="F76" s="973">
        <v>46183</v>
      </c>
      <c r="G76" s="973">
        <v>46287</v>
      </c>
      <c r="H76" s="973">
        <v>46287</v>
      </c>
      <c r="I76" s="973">
        <v>46212</v>
      </c>
      <c r="J76" s="972">
        <f t="shared" si="20"/>
        <v>23040</v>
      </c>
      <c r="K76" s="972">
        <v>48</v>
      </c>
      <c r="L76" s="972">
        <v>1920</v>
      </c>
      <c r="M76" s="972">
        <v>1920</v>
      </c>
      <c r="N76" s="972">
        <v>1920</v>
      </c>
      <c r="O76" s="972">
        <v>1920</v>
      </c>
      <c r="P76" s="972">
        <v>1920</v>
      </c>
      <c r="Q76" s="972">
        <v>1920</v>
      </c>
      <c r="R76" s="972">
        <v>1920</v>
      </c>
      <c r="S76" s="972">
        <v>1920</v>
      </c>
      <c r="T76" s="972">
        <v>1920</v>
      </c>
      <c r="U76" s="972">
        <v>1920</v>
      </c>
      <c r="V76" s="972">
        <v>1920</v>
      </c>
      <c r="W76" s="972">
        <v>1920</v>
      </c>
      <c r="X76" s="993" t="s">
        <v>1444</v>
      </c>
      <c r="Y76" s="972" t="s">
        <v>196</v>
      </c>
      <c r="Z76" s="972" t="s">
        <v>616</v>
      </c>
      <c r="AA76" s="972" t="s">
        <v>616</v>
      </c>
      <c r="AB76" s="972" t="s">
        <v>1444</v>
      </c>
      <c r="AC76" s="60" t="s">
        <v>1374</v>
      </c>
      <c r="AD76" s="1000">
        <v>46286</v>
      </c>
      <c r="AE76" s="1001"/>
      <c r="AF76" s="972"/>
      <c r="AG76" s="994"/>
      <c r="AH76" s="1290" t="s">
        <v>1465</v>
      </c>
      <c r="AI76" s="255" t="s">
        <v>1375</v>
      </c>
      <c r="AJ76" s="255" t="s">
        <v>1450</v>
      </c>
    </row>
    <row r="77" s="255" customFormat="1" ht="28.5" customHeight="1" spans="1:36">
      <c r="A77" s="972">
        <f t="shared" si="21"/>
        <v>74</v>
      </c>
      <c r="B77" s="60" t="s">
        <v>209</v>
      </c>
      <c r="C77" s="972" t="s">
        <v>909</v>
      </c>
      <c r="D77" s="972" t="s">
        <v>1466</v>
      </c>
      <c r="E77" s="972" t="s">
        <v>1467</v>
      </c>
      <c r="F77" s="973">
        <v>46183</v>
      </c>
      <c r="G77" s="973">
        <v>46304</v>
      </c>
      <c r="H77" s="973">
        <v>46304</v>
      </c>
      <c r="I77" s="973">
        <v>46212</v>
      </c>
      <c r="J77" s="972">
        <f t="shared" si="20"/>
        <v>40320</v>
      </c>
      <c r="K77" s="972">
        <v>48</v>
      </c>
      <c r="L77" s="972">
        <v>3360</v>
      </c>
      <c r="M77" s="972">
        <v>3360</v>
      </c>
      <c r="N77" s="972">
        <v>3360</v>
      </c>
      <c r="O77" s="972">
        <v>3360</v>
      </c>
      <c r="P77" s="972">
        <v>3360</v>
      </c>
      <c r="Q77" s="972">
        <v>3360</v>
      </c>
      <c r="R77" s="972">
        <v>3360</v>
      </c>
      <c r="S77" s="972">
        <v>3360</v>
      </c>
      <c r="T77" s="972">
        <v>3360</v>
      </c>
      <c r="U77" s="972">
        <v>3360</v>
      </c>
      <c r="V77" s="972">
        <v>3360</v>
      </c>
      <c r="W77" s="972">
        <v>3360</v>
      </c>
      <c r="X77" s="993" t="s">
        <v>1468</v>
      </c>
      <c r="Y77" s="972" t="s">
        <v>196</v>
      </c>
      <c r="Z77" s="972" t="s">
        <v>1469</v>
      </c>
      <c r="AA77" s="972" t="s">
        <v>1469</v>
      </c>
      <c r="AB77" s="972" t="s">
        <v>1468</v>
      </c>
      <c r="AC77" s="60" t="s">
        <v>1374</v>
      </c>
      <c r="AD77" s="1000">
        <v>46304</v>
      </c>
      <c r="AE77" s="972"/>
      <c r="AF77" s="972"/>
      <c r="AG77" s="994"/>
      <c r="AH77" s="1290" t="s">
        <v>1470</v>
      </c>
      <c r="AI77" s="255" t="s">
        <v>1375</v>
      </c>
      <c r="AJ77" s="255" t="s">
        <v>1450</v>
      </c>
    </row>
    <row r="78" s="255" customFormat="1" ht="28.5" customHeight="1" spans="1:36">
      <c r="A78" s="972">
        <f t="shared" si="21"/>
        <v>75</v>
      </c>
      <c r="B78" s="60" t="s">
        <v>209</v>
      </c>
      <c r="C78" s="972" t="s">
        <v>909</v>
      </c>
      <c r="D78" s="972" t="s">
        <v>1471</v>
      </c>
      <c r="E78" s="972" t="s">
        <v>1472</v>
      </c>
      <c r="F78" s="973">
        <v>46183</v>
      </c>
      <c r="G78" s="973">
        <v>46304</v>
      </c>
      <c r="H78" s="973">
        <v>46304</v>
      </c>
      <c r="I78" s="973">
        <v>46212</v>
      </c>
      <c r="J78" s="972">
        <f t="shared" si="20"/>
        <v>28800</v>
      </c>
      <c r="K78" s="972">
        <v>48</v>
      </c>
      <c r="L78" s="972">
        <v>2400</v>
      </c>
      <c r="M78" s="972">
        <v>2400</v>
      </c>
      <c r="N78" s="972">
        <v>2400</v>
      </c>
      <c r="O78" s="972">
        <v>2400</v>
      </c>
      <c r="P78" s="972">
        <v>2400</v>
      </c>
      <c r="Q78" s="972">
        <v>2400</v>
      </c>
      <c r="R78" s="972">
        <v>2400</v>
      </c>
      <c r="S78" s="972">
        <v>2400</v>
      </c>
      <c r="T78" s="972">
        <v>2400</v>
      </c>
      <c r="U78" s="972">
        <v>2400</v>
      </c>
      <c r="V78" s="972">
        <v>2400</v>
      </c>
      <c r="W78" s="972">
        <v>2400</v>
      </c>
      <c r="X78" s="993" t="s">
        <v>1468</v>
      </c>
      <c r="Y78" s="972" t="s">
        <v>196</v>
      </c>
      <c r="Z78" s="972" t="s">
        <v>1469</v>
      </c>
      <c r="AA78" s="972" t="s">
        <v>1469</v>
      </c>
      <c r="AB78" s="972" t="s">
        <v>1468</v>
      </c>
      <c r="AC78" s="60" t="s">
        <v>1374</v>
      </c>
      <c r="AD78" s="1000">
        <v>46304</v>
      </c>
      <c r="AE78" s="972"/>
      <c r="AF78" s="972"/>
      <c r="AG78" s="994"/>
      <c r="AH78" s="1290" t="s">
        <v>1473</v>
      </c>
      <c r="AI78" s="255" t="s">
        <v>1375</v>
      </c>
      <c r="AJ78" s="255" t="s">
        <v>1450</v>
      </c>
    </row>
    <row r="79" s="255" customFormat="1" ht="28.5" customHeight="1" spans="1:36">
      <c r="A79" s="972">
        <f t="shared" si="21"/>
        <v>76</v>
      </c>
      <c r="B79" s="60" t="s">
        <v>209</v>
      </c>
      <c r="C79" s="972" t="s">
        <v>909</v>
      </c>
      <c r="D79" s="972" t="s">
        <v>1474</v>
      </c>
      <c r="E79" s="972" t="s">
        <v>1475</v>
      </c>
      <c r="F79" s="973">
        <v>46183</v>
      </c>
      <c r="G79" s="973">
        <v>46304</v>
      </c>
      <c r="H79" s="973">
        <v>46304</v>
      </c>
      <c r="I79" s="973">
        <v>46212</v>
      </c>
      <c r="J79" s="972">
        <f t="shared" si="20"/>
        <v>23040</v>
      </c>
      <c r="K79" s="972">
        <v>48</v>
      </c>
      <c r="L79" s="972">
        <v>1920</v>
      </c>
      <c r="M79" s="972">
        <v>1920</v>
      </c>
      <c r="N79" s="972">
        <v>1920</v>
      </c>
      <c r="O79" s="972">
        <v>1920</v>
      </c>
      <c r="P79" s="972">
        <v>1920</v>
      </c>
      <c r="Q79" s="972">
        <v>1920</v>
      </c>
      <c r="R79" s="972">
        <v>1920</v>
      </c>
      <c r="S79" s="972">
        <v>1920</v>
      </c>
      <c r="T79" s="972">
        <v>1920</v>
      </c>
      <c r="U79" s="972">
        <v>1920</v>
      </c>
      <c r="V79" s="972">
        <v>1920</v>
      </c>
      <c r="W79" s="972">
        <v>1920</v>
      </c>
      <c r="X79" s="993" t="s">
        <v>1468</v>
      </c>
      <c r="Y79" s="972" t="s">
        <v>196</v>
      </c>
      <c r="Z79" s="972" t="s">
        <v>1469</v>
      </c>
      <c r="AA79" s="972" t="s">
        <v>1469</v>
      </c>
      <c r="AB79" s="972" t="s">
        <v>1468</v>
      </c>
      <c r="AC79" s="60" t="s">
        <v>1374</v>
      </c>
      <c r="AD79" s="1000">
        <v>46304</v>
      </c>
      <c r="AE79" s="972"/>
      <c r="AF79" s="972"/>
      <c r="AG79" s="994"/>
      <c r="AH79" s="1290" t="s">
        <v>1476</v>
      </c>
      <c r="AI79" s="255" t="s">
        <v>1375</v>
      </c>
      <c r="AJ79" s="255" t="s">
        <v>1450</v>
      </c>
    </row>
    <row r="80" s="255" customFormat="1" ht="28.5" customHeight="1" spans="1:36">
      <c r="A80" s="972">
        <f t="shared" si="21"/>
        <v>77</v>
      </c>
      <c r="B80" s="60" t="s">
        <v>209</v>
      </c>
      <c r="C80" s="972" t="s">
        <v>909</v>
      </c>
      <c r="D80" s="972" t="s">
        <v>1477</v>
      </c>
      <c r="E80" s="972" t="s">
        <v>1478</v>
      </c>
      <c r="F80" s="973">
        <v>46183</v>
      </c>
      <c r="G80" s="973">
        <v>46304</v>
      </c>
      <c r="H80" s="973">
        <v>46304</v>
      </c>
      <c r="I80" s="973">
        <v>46212</v>
      </c>
      <c r="J80" s="972">
        <f t="shared" si="20"/>
        <v>23040</v>
      </c>
      <c r="K80" s="972">
        <v>48</v>
      </c>
      <c r="L80" s="972">
        <v>1920</v>
      </c>
      <c r="M80" s="972">
        <v>1920</v>
      </c>
      <c r="N80" s="972">
        <v>1920</v>
      </c>
      <c r="O80" s="972">
        <v>1920</v>
      </c>
      <c r="P80" s="972">
        <v>1920</v>
      </c>
      <c r="Q80" s="972">
        <v>1920</v>
      </c>
      <c r="R80" s="972">
        <v>1920</v>
      </c>
      <c r="S80" s="972">
        <v>1920</v>
      </c>
      <c r="T80" s="972">
        <v>1920</v>
      </c>
      <c r="U80" s="972">
        <v>1920</v>
      </c>
      <c r="V80" s="972">
        <v>1920</v>
      </c>
      <c r="W80" s="972">
        <v>1920</v>
      </c>
      <c r="X80" s="993" t="s">
        <v>1468</v>
      </c>
      <c r="Y80" s="972" t="s">
        <v>196</v>
      </c>
      <c r="Z80" s="972" t="s">
        <v>1469</v>
      </c>
      <c r="AA80" s="972" t="s">
        <v>1469</v>
      </c>
      <c r="AB80" s="972" t="s">
        <v>1468</v>
      </c>
      <c r="AC80" s="60" t="s">
        <v>1374</v>
      </c>
      <c r="AD80" s="1000">
        <v>46304</v>
      </c>
      <c r="AE80" s="972"/>
      <c r="AF80" s="972"/>
      <c r="AG80" s="994"/>
      <c r="AH80" s="1290" t="s">
        <v>1479</v>
      </c>
      <c r="AI80" s="255" t="s">
        <v>1375</v>
      </c>
      <c r="AJ80" s="255" t="s">
        <v>1450</v>
      </c>
    </row>
    <row r="81" s="255" customFormat="1" ht="28.5" customHeight="1" spans="1:36">
      <c r="A81" s="972">
        <f t="shared" si="21"/>
        <v>78</v>
      </c>
      <c r="B81" s="60" t="s">
        <v>209</v>
      </c>
      <c r="C81" s="972" t="s">
        <v>909</v>
      </c>
      <c r="D81" s="972" t="s">
        <v>1480</v>
      </c>
      <c r="E81" s="972" t="s">
        <v>1481</v>
      </c>
      <c r="F81" s="973">
        <v>46183</v>
      </c>
      <c r="G81" s="973">
        <v>46304</v>
      </c>
      <c r="H81" s="973">
        <v>46304</v>
      </c>
      <c r="I81" s="973">
        <v>46212</v>
      </c>
      <c r="J81" s="972">
        <f t="shared" si="20"/>
        <v>23040</v>
      </c>
      <c r="K81" s="972">
        <v>48</v>
      </c>
      <c r="L81" s="972">
        <v>1920</v>
      </c>
      <c r="M81" s="972">
        <v>1920</v>
      </c>
      <c r="N81" s="972">
        <v>1920</v>
      </c>
      <c r="O81" s="972">
        <v>1920</v>
      </c>
      <c r="P81" s="972">
        <v>1920</v>
      </c>
      <c r="Q81" s="972">
        <v>1920</v>
      </c>
      <c r="R81" s="972">
        <v>1920</v>
      </c>
      <c r="S81" s="972">
        <v>1920</v>
      </c>
      <c r="T81" s="972">
        <v>1920</v>
      </c>
      <c r="U81" s="972">
        <v>1920</v>
      </c>
      <c r="V81" s="972">
        <v>1920</v>
      </c>
      <c r="W81" s="972">
        <v>1920</v>
      </c>
      <c r="X81" s="993" t="s">
        <v>1468</v>
      </c>
      <c r="Y81" s="972" t="s">
        <v>196</v>
      </c>
      <c r="Z81" s="972" t="s">
        <v>1469</v>
      </c>
      <c r="AA81" s="972" t="s">
        <v>1469</v>
      </c>
      <c r="AB81" s="972" t="s">
        <v>1468</v>
      </c>
      <c r="AC81" s="60" t="s">
        <v>1374</v>
      </c>
      <c r="AD81" s="1000">
        <v>46304</v>
      </c>
      <c r="AE81" s="972"/>
      <c r="AF81" s="972"/>
      <c r="AG81" s="994"/>
      <c r="AH81" s="1290" t="s">
        <v>1482</v>
      </c>
      <c r="AI81" s="255" t="s">
        <v>1375</v>
      </c>
      <c r="AJ81" s="255" t="s">
        <v>1450</v>
      </c>
    </row>
    <row r="82" s="255" customFormat="1" ht="28.5" customHeight="1" spans="1:36">
      <c r="A82" s="972">
        <f t="shared" ref="A82:A93" si="22">ROW()-3</f>
        <v>79</v>
      </c>
      <c r="B82" s="60" t="s">
        <v>209</v>
      </c>
      <c r="C82" s="972" t="s">
        <v>909</v>
      </c>
      <c r="D82" s="972" t="s">
        <v>1483</v>
      </c>
      <c r="E82" s="972" t="s">
        <v>1484</v>
      </c>
      <c r="F82" s="973">
        <v>46183</v>
      </c>
      <c r="G82" s="973">
        <v>46304</v>
      </c>
      <c r="H82" s="973">
        <v>46304</v>
      </c>
      <c r="I82" s="973">
        <v>46212</v>
      </c>
      <c r="J82" s="972">
        <f t="shared" si="20"/>
        <v>34560</v>
      </c>
      <c r="K82" s="972">
        <v>48</v>
      </c>
      <c r="L82" s="972">
        <v>2880</v>
      </c>
      <c r="M82" s="972">
        <v>2880</v>
      </c>
      <c r="N82" s="972">
        <v>2880</v>
      </c>
      <c r="O82" s="972">
        <v>2880</v>
      </c>
      <c r="P82" s="972">
        <v>2880</v>
      </c>
      <c r="Q82" s="972">
        <v>2880</v>
      </c>
      <c r="R82" s="972">
        <v>2880</v>
      </c>
      <c r="S82" s="972">
        <v>2880</v>
      </c>
      <c r="T82" s="972">
        <v>2880</v>
      </c>
      <c r="U82" s="972">
        <v>2880</v>
      </c>
      <c r="V82" s="972">
        <v>2880</v>
      </c>
      <c r="W82" s="972">
        <v>2880</v>
      </c>
      <c r="X82" s="993" t="s">
        <v>1468</v>
      </c>
      <c r="Y82" s="972" t="s">
        <v>196</v>
      </c>
      <c r="Z82" s="972" t="s">
        <v>1469</v>
      </c>
      <c r="AA82" s="972" t="s">
        <v>1469</v>
      </c>
      <c r="AB82" s="972" t="s">
        <v>1468</v>
      </c>
      <c r="AC82" s="60" t="s">
        <v>1374</v>
      </c>
      <c r="AD82" s="1000">
        <v>46304</v>
      </c>
      <c r="AE82" s="972"/>
      <c r="AF82" s="972"/>
      <c r="AG82" s="994"/>
      <c r="AH82" s="1290" t="s">
        <v>1485</v>
      </c>
      <c r="AI82" s="255" t="s">
        <v>1375</v>
      </c>
      <c r="AJ82" s="255" t="s">
        <v>1450</v>
      </c>
    </row>
    <row r="83" s="255" customFormat="1" ht="28.5" customHeight="1" spans="1:36">
      <c r="A83" s="972">
        <f t="shared" si="22"/>
        <v>80</v>
      </c>
      <c r="B83" s="60" t="s">
        <v>209</v>
      </c>
      <c r="C83" s="972" t="s">
        <v>909</v>
      </c>
      <c r="D83" s="972" t="s">
        <v>1486</v>
      </c>
      <c r="E83" s="972" t="s">
        <v>1487</v>
      </c>
      <c r="F83" s="973">
        <v>46183</v>
      </c>
      <c r="G83" s="973">
        <v>46315</v>
      </c>
      <c r="H83" s="973">
        <v>46315</v>
      </c>
      <c r="I83" s="973">
        <v>46225</v>
      </c>
      <c r="J83" s="972">
        <f t="shared" ref="J83:J92" si="23">SUBTOTAL(9,L83:W83)</f>
        <v>34560</v>
      </c>
      <c r="K83" s="972">
        <v>48</v>
      </c>
      <c r="L83" s="972">
        <v>2880</v>
      </c>
      <c r="M83" s="972">
        <v>2880</v>
      </c>
      <c r="N83" s="972">
        <v>2880</v>
      </c>
      <c r="O83" s="972">
        <v>2880</v>
      </c>
      <c r="P83" s="972">
        <v>2880</v>
      </c>
      <c r="Q83" s="972">
        <v>2880</v>
      </c>
      <c r="R83" s="972">
        <v>2880</v>
      </c>
      <c r="S83" s="972">
        <v>2880</v>
      </c>
      <c r="T83" s="972">
        <v>2880</v>
      </c>
      <c r="U83" s="972">
        <v>2880</v>
      </c>
      <c r="V83" s="972">
        <v>2880</v>
      </c>
      <c r="W83" s="972">
        <v>2880</v>
      </c>
      <c r="X83" s="993" t="s">
        <v>1468</v>
      </c>
      <c r="Y83" s="972" t="s">
        <v>196</v>
      </c>
      <c r="Z83" s="972" t="s">
        <v>1469</v>
      </c>
      <c r="AA83" s="972" t="s">
        <v>1469</v>
      </c>
      <c r="AB83" s="972" t="s">
        <v>1468</v>
      </c>
      <c r="AC83" s="60" t="s">
        <v>1374</v>
      </c>
      <c r="AD83" s="1000">
        <v>46315</v>
      </c>
      <c r="AE83" s="972"/>
      <c r="AF83" s="972"/>
      <c r="AG83" s="994"/>
      <c r="AH83" s="1290" t="s">
        <v>1488</v>
      </c>
      <c r="AI83" s="255" t="s">
        <v>1375</v>
      </c>
      <c r="AJ83" s="255" t="s">
        <v>1450</v>
      </c>
    </row>
    <row r="84" s="255" customFormat="1" ht="28.5" customHeight="1" spans="1:36">
      <c r="A84" s="972">
        <f t="shared" si="22"/>
        <v>81</v>
      </c>
      <c r="B84" s="60" t="s">
        <v>209</v>
      </c>
      <c r="C84" s="972" t="s">
        <v>909</v>
      </c>
      <c r="D84" s="972" t="s">
        <v>1489</v>
      </c>
      <c r="E84" s="972" t="s">
        <v>1490</v>
      </c>
      <c r="F84" s="973">
        <v>46183</v>
      </c>
      <c r="G84" s="973">
        <v>46315</v>
      </c>
      <c r="H84" s="973">
        <v>46315</v>
      </c>
      <c r="I84" s="973">
        <v>46225</v>
      </c>
      <c r="J84" s="972">
        <f t="shared" si="23"/>
        <v>34560</v>
      </c>
      <c r="K84" s="972">
        <v>48</v>
      </c>
      <c r="L84" s="972">
        <v>2880</v>
      </c>
      <c r="M84" s="972">
        <v>2880</v>
      </c>
      <c r="N84" s="972">
        <v>2880</v>
      </c>
      <c r="O84" s="972">
        <v>2880</v>
      </c>
      <c r="P84" s="972">
        <v>2880</v>
      </c>
      <c r="Q84" s="972">
        <v>2880</v>
      </c>
      <c r="R84" s="972">
        <v>2880</v>
      </c>
      <c r="S84" s="972">
        <v>2880</v>
      </c>
      <c r="T84" s="972">
        <v>2880</v>
      </c>
      <c r="U84" s="972">
        <v>2880</v>
      </c>
      <c r="V84" s="972">
        <v>2880</v>
      </c>
      <c r="W84" s="972">
        <v>2880</v>
      </c>
      <c r="X84" s="993" t="s">
        <v>1468</v>
      </c>
      <c r="Y84" s="972" t="s">
        <v>196</v>
      </c>
      <c r="Z84" s="972" t="s">
        <v>1469</v>
      </c>
      <c r="AA84" s="972" t="s">
        <v>1469</v>
      </c>
      <c r="AB84" s="972" t="s">
        <v>1468</v>
      </c>
      <c r="AC84" s="60" t="s">
        <v>1374</v>
      </c>
      <c r="AD84" s="1000">
        <v>46315</v>
      </c>
      <c r="AE84" s="972"/>
      <c r="AF84" s="972"/>
      <c r="AG84" s="994"/>
      <c r="AH84" s="1290" t="s">
        <v>1491</v>
      </c>
      <c r="AI84" s="255" t="s">
        <v>1375</v>
      </c>
      <c r="AJ84" s="255" t="s">
        <v>1450</v>
      </c>
    </row>
    <row r="85" s="255" customFormat="1" ht="28.5" customHeight="1" spans="1:36">
      <c r="A85" s="972">
        <f t="shared" si="22"/>
        <v>82</v>
      </c>
      <c r="B85" s="60" t="s">
        <v>209</v>
      </c>
      <c r="C85" s="972" t="s">
        <v>909</v>
      </c>
      <c r="D85" s="972" t="s">
        <v>1492</v>
      </c>
      <c r="E85" s="972" t="s">
        <v>1493</v>
      </c>
      <c r="F85" s="973">
        <v>46183</v>
      </c>
      <c r="G85" s="973">
        <v>46315</v>
      </c>
      <c r="H85" s="973">
        <v>46315</v>
      </c>
      <c r="I85" s="973">
        <v>46225</v>
      </c>
      <c r="J85" s="972">
        <f t="shared" si="23"/>
        <v>46080</v>
      </c>
      <c r="K85" s="972">
        <v>48</v>
      </c>
      <c r="L85" s="972">
        <v>3840</v>
      </c>
      <c r="M85" s="972">
        <v>3840</v>
      </c>
      <c r="N85" s="972">
        <v>3840</v>
      </c>
      <c r="O85" s="972">
        <v>3840</v>
      </c>
      <c r="P85" s="972">
        <v>3840</v>
      </c>
      <c r="Q85" s="972">
        <v>3840</v>
      </c>
      <c r="R85" s="972">
        <v>3840</v>
      </c>
      <c r="S85" s="972">
        <v>3840</v>
      </c>
      <c r="T85" s="972">
        <v>3840</v>
      </c>
      <c r="U85" s="972">
        <v>3840</v>
      </c>
      <c r="V85" s="972">
        <v>3840</v>
      </c>
      <c r="W85" s="972">
        <v>3840</v>
      </c>
      <c r="X85" s="993" t="s">
        <v>1468</v>
      </c>
      <c r="Y85" s="972" t="s">
        <v>196</v>
      </c>
      <c r="Z85" s="972" t="s">
        <v>1469</v>
      </c>
      <c r="AA85" s="972" t="s">
        <v>1469</v>
      </c>
      <c r="AB85" s="972" t="s">
        <v>1468</v>
      </c>
      <c r="AC85" s="60" t="s">
        <v>1374</v>
      </c>
      <c r="AD85" s="1000">
        <v>46315</v>
      </c>
      <c r="AE85" s="972"/>
      <c r="AF85" s="972"/>
      <c r="AG85" s="994"/>
      <c r="AH85" s="1290" t="s">
        <v>1494</v>
      </c>
      <c r="AI85" s="255" t="s">
        <v>1375</v>
      </c>
      <c r="AJ85" s="255" t="s">
        <v>1450</v>
      </c>
    </row>
    <row r="86" s="255" customFormat="1" ht="28.5" customHeight="1" spans="1:36">
      <c r="A86" s="972">
        <f t="shared" si="22"/>
        <v>83</v>
      </c>
      <c r="B86" s="60" t="s">
        <v>209</v>
      </c>
      <c r="C86" s="972" t="s">
        <v>909</v>
      </c>
      <c r="D86" s="972" t="s">
        <v>1495</v>
      </c>
      <c r="E86" s="972" t="s">
        <v>1496</v>
      </c>
      <c r="F86" s="973">
        <v>46183</v>
      </c>
      <c r="G86" s="973">
        <v>46315</v>
      </c>
      <c r="H86" s="973">
        <v>46315</v>
      </c>
      <c r="I86" s="973">
        <v>46225</v>
      </c>
      <c r="J86" s="972">
        <f t="shared" si="23"/>
        <v>34560</v>
      </c>
      <c r="K86" s="972">
        <v>48</v>
      </c>
      <c r="L86" s="972">
        <v>2880</v>
      </c>
      <c r="M86" s="972">
        <v>2880</v>
      </c>
      <c r="N86" s="972">
        <v>2880</v>
      </c>
      <c r="O86" s="972">
        <v>2880</v>
      </c>
      <c r="P86" s="972">
        <v>2880</v>
      </c>
      <c r="Q86" s="972">
        <v>2880</v>
      </c>
      <c r="R86" s="972">
        <v>2880</v>
      </c>
      <c r="S86" s="972">
        <v>2880</v>
      </c>
      <c r="T86" s="972">
        <v>2880</v>
      </c>
      <c r="U86" s="972">
        <v>2880</v>
      </c>
      <c r="V86" s="972">
        <v>2880</v>
      </c>
      <c r="W86" s="972">
        <v>2880</v>
      </c>
      <c r="X86" s="993" t="s">
        <v>1468</v>
      </c>
      <c r="Y86" s="972" t="s">
        <v>196</v>
      </c>
      <c r="Z86" s="972" t="s">
        <v>1469</v>
      </c>
      <c r="AA86" s="972" t="s">
        <v>1469</v>
      </c>
      <c r="AB86" s="972" t="s">
        <v>1468</v>
      </c>
      <c r="AC86" s="60" t="s">
        <v>1374</v>
      </c>
      <c r="AD86" s="1000">
        <v>46315</v>
      </c>
      <c r="AE86" s="972"/>
      <c r="AF86" s="972"/>
      <c r="AG86" s="994"/>
      <c r="AH86" s="1290" t="s">
        <v>1497</v>
      </c>
      <c r="AI86" s="255" t="s">
        <v>1375</v>
      </c>
      <c r="AJ86" s="255" t="s">
        <v>1450</v>
      </c>
    </row>
    <row r="87" s="255" customFormat="1" ht="28.5" customHeight="1" spans="1:36">
      <c r="A87" s="972">
        <f t="shared" si="22"/>
        <v>84</v>
      </c>
      <c r="B87" s="60" t="s">
        <v>209</v>
      </c>
      <c r="C87" s="972" t="s">
        <v>909</v>
      </c>
      <c r="D87" s="972" t="s">
        <v>1498</v>
      </c>
      <c r="E87" s="972" t="s">
        <v>1499</v>
      </c>
      <c r="F87" s="973">
        <v>46183</v>
      </c>
      <c r="G87" s="973">
        <v>46315</v>
      </c>
      <c r="H87" s="973">
        <v>46315</v>
      </c>
      <c r="I87" s="973">
        <v>46225</v>
      </c>
      <c r="J87" s="972">
        <f t="shared" si="23"/>
        <v>51840</v>
      </c>
      <c r="K87" s="972">
        <v>48</v>
      </c>
      <c r="L87" s="972">
        <v>4320</v>
      </c>
      <c r="M87" s="972">
        <v>4320</v>
      </c>
      <c r="N87" s="972">
        <v>4320</v>
      </c>
      <c r="O87" s="972">
        <v>4320</v>
      </c>
      <c r="P87" s="972">
        <v>4320</v>
      </c>
      <c r="Q87" s="972">
        <v>4320</v>
      </c>
      <c r="R87" s="972">
        <v>4320</v>
      </c>
      <c r="S87" s="972">
        <v>4320</v>
      </c>
      <c r="T87" s="972">
        <v>4320</v>
      </c>
      <c r="U87" s="972">
        <v>4320</v>
      </c>
      <c r="V87" s="972">
        <v>4320</v>
      </c>
      <c r="W87" s="972">
        <v>4320</v>
      </c>
      <c r="X87" s="993" t="s">
        <v>1468</v>
      </c>
      <c r="Y87" s="972" t="s">
        <v>196</v>
      </c>
      <c r="Z87" s="972" t="s">
        <v>1469</v>
      </c>
      <c r="AA87" s="972" t="s">
        <v>1469</v>
      </c>
      <c r="AB87" s="972" t="s">
        <v>1468</v>
      </c>
      <c r="AC87" s="60" t="s">
        <v>1374</v>
      </c>
      <c r="AD87" s="1000">
        <v>46315</v>
      </c>
      <c r="AE87" s="972"/>
      <c r="AF87" s="972"/>
      <c r="AG87" s="994"/>
      <c r="AH87" s="1290" t="s">
        <v>1500</v>
      </c>
      <c r="AI87" s="255" t="s">
        <v>1375</v>
      </c>
      <c r="AJ87" s="255" t="s">
        <v>1450</v>
      </c>
    </row>
    <row r="88" s="255" customFormat="1" ht="28.5" customHeight="1" spans="1:36">
      <c r="A88" s="972">
        <f t="shared" si="22"/>
        <v>85</v>
      </c>
      <c r="B88" s="60" t="s">
        <v>209</v>
      </c>
      <c r="C88" s="972" t="s">
        <v>909</v>
      </c>
      <c r="D88" s="972" t="s">
        <v>1501</v>
      </c>
      <c r="E88" s="972" t="s">
        <v>1502</v>
      </c>
      <c r="F88" s="973">
        <v>46183</v>
      </c>
      <c r="G88" s="973">
        <v>46315</v>
      </c>
      <c r="H88" s="973">
        <v>46315</v>
      </c>
      <c r="I88" s="973">
        <v>46225</v>
      </c>
      <c r="J88" s="972">
        <f t="shared" si="23"/>
        <v>23040</v>
      </c>
      <c r="K88" s="972">
        <v>48</v>
      </c>
      <c r="L88" s="972">
        <v>1920</v>
      </c>
      <c r="M88" s="972">
        <v>1920</v>
      </c>
      <c r="N88" s="972">
        <v>1920</v>
      </c>
      <c r="O88" s="972">
        <v>1920</v>
      </c>
      <c r="P88" s="972">
        <v>1920</v>
      </c>
      <c r="Q88" s="972">
        <v>1920</v>
      </c>
      <c r="R88" s="972">
        <v>1920</v>
      </c>
      <c r="S88" s="972">
        <v>1920</v>
      </c>
      <c r="T88" s="972">
        <v>1920</v>
      </c>
      <c r="U88" s="972">
        <v>1920</v>
      </c>
      <c r="V88" s="972">
        <v>1920</v>
      </c>
      <c r="W88" s="972">
        <v>1920</v>
      </c>
      <c r="X88" s="993" t="s">
        <v>1468</v>
      </c>
      <c r="Y88" s="972" t="s">
        <v>196</v>
      </c>
      <c r="Z88" s="972" t="s">
        <v>1469</v>
      </c>
      <c r="AA88" s="972" t="s">
        <v>1469</v>
      </c>
      <c r="AB88" s="972" t="s">
        <v>1468</v>
      </c>
      <c r="AC88" s="60" t="s">
        <v>1374</v>
      </c>
      <c r="AD88" s="1000">
        <v>46315</v>
      </c>
      <c r="AE88" s="972"/>
      <c r="AF88" s="972"/>
      <c r="AG88" s="994"/>
      <c r="AH88" s="1290" t="s">
        <v>1503</v>
      </c>
      <c r="AI88" s="255" t="s">
        <v>1375</v>
      </c>
      <c r="AJ88" s="255" t="s">
        <v>1450</v>
      </c>
    </row>
    <row r="89" s="255" customFormat="1" ht="28.5" customHeight="1" spans="1:36">
      <c r="A89" s="1009">
        <f t="shared" si="22"/>
        <v>86</v>
      </c>
      <c r="B89" s="88" t="s">
        <v>209</v>
      </c>
      <c r="C89" s="1009" t="s">
        <v>909</v>
      </c>
      <c r="D89" s="1009" t="s">
        <v>1504</v>
      </c>
      <c r="E89" s="1009"/>
      <c r="F89" s="1010">
        <v>46276</v>
      </c>
      <c r="G89" s="1010">
        <v>46356</v>
      </c>
      <c r="H89" s="1009"/>
      <c r="I89" s="1009"/>
      <c r="J89" s="1009">
        <f t="shared" si="23"/>
        <v>62400</v>
      </c>
      <c r="K89" s="972">
        <v>48</v>
      </c>
      <c r="L89" s="972">
        <v>5200</v>
      </c>
      <c r="M89" s="972">
        <v>5200</v>
      </c>
      <c r="N89" s="972">
        <v>5200</v>
      </c>
      <c r="O89" s="972">
        <v>5200</v>
      </c>
      <c r="P89" s="972">
        <v>5200</v>
      </c>
      <c r="Q89" s="972">
        <v>5200</v>
      </c>
      <c r="R89" s="972">
        <v>5200</v>
      </c>
      <c r="S89" s="972">
        <v>5200</v>
      </c>
      <c r="T89" s="972">
        <v>5200</v>
      </c>
      <c r="U89" s="972">
        <v>5200</v>
      </c>
      <c r="V89" s="972">
        <v>5200</v>
      </c>
      <c r="W89" s="972">
        <v>5200</v>
      </c>
      <c r="X89" s="993"/>
      <c r="Y89" s="972"/>
      <c r="Z89" s="972"/>
      <c r="AA89" s="972"/>
      <c r="AB89" s="972"/>
      <c r="AC89" s="60" t="s">
        <v>1374</v>
      </c>
      <c r="AD89" s="993"/>
      <c r="AE89" s="972"/>
      <c r="AF89" s="972"/>
      <c r="AG89" s="994"/>
      <c r="AH89" s="972"/>
    </row>
    <row r="90" s="255" customFormat="1" ht="28.5" customHeight="1" spans="1:36">
      <c r="A90" s="975">
        <f t="shared" si="22"/>
        <v>87</v>
      </c>
      <c r="B90" s="91" t="s">
        <v>1076</v>
      </c>
      <c r="C90" s="975" t="s">
        <v>114</v>
      </c>
      <c r="D90" s="975" t="s">
        <v>1353</v>
      </c>
      <c r="E90" s="975"/>
      <c r="F90" s="976">
        <v>46265</v>
      </c>
      <c r="G90" s="976">
        <v>46037</v>
      </c>
      <c r="H90" s="975"/>
      <c r="I90" s="975"/>
      <c r="J90" s="975">
        <f t="shared" si="23"/>
        <v>6000</v>
      </c>
      <c r="K90" s="972">
        <v>48</v>
      </c>
      <c r="L90" s="972">
        <v>500</v>
      </c>
      <c r="M90" s="972">
        <v>500</v>
      </c>
      <c r="N90" s="972">
        <v>500</v>
      </c>
      <c r="O90" s="972">
        <v>500</v>
      </c>
      <c r="P90" s="972">
        <v>500</v>
      </c>
      <c r="Q90" s="972">
        <v>500</v>
      </c>
      <c r="R90" s="972">
        <v>500</v>
      </c>
      <c r="S90" s="972">
        <v>500</v>
      </c>
      <c r="T90" s="972">
        <v>500</v>
      </c>
      <c r="U90" s="972">
        <v>500</v>
      </c>
      <c r="V90" s="972">
        <v>500</v>
      </c>
      <c r="W90" s="972">
        <v>500</v>
      </c>
      <c r="X90" s="993"/>
      <c r="Y90" s="972"/>
      <c r="Z90" s="972"/>
      <c r="AA90" s="972"/>
      <c r="AB90" s="972"/>
      <c r="AC90" s="60" t="s">
        <v>1392</v>
      </c>
      <c r="AD90" s="993"/>
      <c r="AE90" s="972"/>
      <c r="AF90" s="972"/>
      <c r="AG90" s="994"/>
      <c r="AH90" s="972">
        <v>29794154</v>
      </c>
      <c r="AI90" s="255" t="s">
        <v>1379</v>
      </c>
    </row>
    <row r="91" s="255" customFormat="1" ht="28.5" customHeight="1" spans="1:36">
      <c r="A91" s="975">
        <f t="shared" si="22"/>
        <v>88</v>
      </c>
      <c r="B91" s="91" t="s">
        <v>1076</v>
      </c>
      <c r="C91" s="975" t="s">
        <v>114</v>
      </c>
      <c r="D91" s="975" t="s">
        <v>1353</v>
      </c>
      <c r="E91" s="975"/>
      <c r="F91" s="976">
        <v>46265</v>
      </c>
      <c r="G91" s="976">
        <v>46037</v>
      </c>
      <c r="H91" s="975"/>
      <c r="I91" s="975"/>
      <c r="J91" s="975">
        <f t="shared" si="23"/>
        <v>3600</v>
      </c>
      <c r="K91" s="972">
        <v>48</v>
      </c>
      <c r="L91" s="972">
        <v>300</v>
      </c>
      <c r="M91" s="972">
        <v>300</v>
      </c>
      <c r="N91" s="972">
        <v>300</v>
      </c>
      <c r="O91" s="972">
        <v>300</v>
      </c>
      <c r="P91" s="972">
        <v>300</v>
      </c>
      <c r="Q91" s="972">
        <v>300</v>
      </c>
      <c r="R91" s="972">
        <v>300</v>
      </c>
      <c r="S91" s="972">
        <v>300</v>
      </c>
      <c r="T91" s="972">
        <v>300</v>
      </c>
      <c r="U91" s="972">
        <v>300</v>
      </c>
      <c r="V91" s="972">
        <v>300</v>
      </c>
      <c r="W91" s="972">
        <v>300</v>
      </c>
      <c r="X91" s="993"/>
      <c r="Y91" s="972"/>
      <c r="Z91" s="972"/>
      <c r="AA91" s="972"/>
      <c r="AB91" s="972"/>
      <c r="AC91" s="60" t="s">
        <v>1392</v>
      </c>
      <c r="AD91" s="993"/>
      <c r="AE91" s="972"/>
      <c r="AF91" s="972"/>
      <c r="AG91" s="994"/>
      <c r="AH91" s="972">
        <v>29794155</v>
      </c>
      <c r="AI91" s="255" t="s">
        <v>1379</v>
      </c>
    </row>
    <row r="92" s="255" customFormat="1" ht="28.5" hidden="1" customHeight="1" spans="1:36">
      <c r="A92" s="972">
        <f t="shared" si="22"/>
        <v>89</v>
      </c>
      <c r="B92" s="60"/>
      <c r="C92" s="972"/>
      <c r="D92" s="972"/>
      <c r="E92" s="972"/>
      <c r="F92" s="972"/>
      <c r="G92" s="972"/>
      <c r="H92" s="972"/>
      <c r="I92" s="972"/>
      <c r="J92" s="972"/>
      <c r="K92" s="972"/>
      <c r="L92" s="972"/>
      <c r="M92" s="972"/>
      <c r="N92" s="972"/>
      <c r="O92" s="972"/>
      <c r="P92" s="972"/>
      <c r="Q92" s="972"/>
      <c r="R92" s="972"/>
      <c r="S92" s="972"/>
      <c r="T92" s="972"/>
      <c r="U92" s="972"/>
      <c r="V92" s="972"/>
      <c r="W92" s="972"/>
      <c r="X92" s="993"/>
      <c r="Y92" s="972"/>
      <c r="Z92" s="972"/>
      <c r="AA92" s="972"/>
      <c r="AB92" s="972"/>
      <c r="AC92" s="972"/>
      <c r="AD92" s="993"/>
      <c r="AE92" s="972"/>
      <c r="AF92" s="972"/>
      <c r="AG92" s="994"/>
      <c r="AH92" s="972"/>
    </row>
    <row r="93" s="255" customFormat="1" ht="28.5" hidden="1" customHeight="1" spans="1:36">
      <c r="A93" s="972">
        <f t="shared" si="22"/>
        <v>90</v>
      </c>
      <c r="B93" s="972"/>
      <c r="C93" s="972"/>
      <c r="D93" s="972"/>
      <c r="E93" s="972"/>
      <c r="F93" s="972"/>
      <c r="G93" s="972"/>
      <c r="H93" s="972"/>
      <c r="I93" s="972"/>
      <c r="J93" s="972"/>
      <c r="K93" s="972"/>
      <c r="L93" s="972"/>
      <c r="M93" s="972"/>
      <c r="N93" s="972"/>
      <c r="O93" s="972"/>
      <c r="P93" s="972"/>
      <c r="Q93" s="972"/>
      <c r="R93" s="972"/>
      <c r="S93" s="972"/>
      <c r="T93" s="972"/>
      <c r="U93" s="972"/>
      <c r="V93" s="972"/>
      <c r="W93" s="972"/>
      <c r="X93" s="993"/>
      <c r="Y93" s="972"/>
      <c r="Z93" s="972"/>
      <c r="AA93" s="972"/>
      <c r="AB93" s="972"/>
      <c r="AC93" s="972"/>
      <c r="AD93" s="993"/>
      <c r="AE93" s="972"/>
      <c r="AF93" s="972"/>
      <c r="AG93" s="994"/>
      <c r="AH93" s="972"/>
    </row>
    <row r="94" s="3" customFormat="1" ht="16.5" customHeight="1" spans="1:36">
      <c r="A94" s="94" t="s">
        <v>1356</v>
      </c>
      <c r="B94" s="94"/>
      <c r="C94" s="94"/>
      <c r="D94" s="94"/>
      <c r="E94" s="94"/>
      <c r="F94" s="94"/>
      <c r="G94" s="94"/>
      <c r="H94" s="94"/>
      <c r="I94" s="94"/>
      <c r="J94" s="95">
        <f>SUM(J4:J93)</f>
        <v>1547664</v>
      </c>
      <c r="K94" s="95"/>
      <c r="L94" s="95">
        <f t="shared" ref="L94:W94" si="24">SUM(L4:L93)</f>
        <v>180472</v>
      </c>
      <c r="M94" s="95">
        <f t="shared" si="24"/>
        <v>180472</v>
      </c>
      <c r="N94" s="95">
        <f t="shared" si="24"/>
        <v>180472</v>
      </c>
      <c r="O94" s="95">
        <f t="shared" si="24"/>
        <v>180472</v>
      </c>
      <c r="P94" s="95">
        <f t="shared" si="24"/>
        <v>180472</v>
      </c>
      <c r="Q94" s="95">
        <f t="shared" si="24"/>
        <v>180472</v>
      </c>
      <c r="R94" s="95">
        <f t="shared" si="24"/>
        <v>180472</v>
      </c>
      <c r="S94" s="95">
        <f t="shared" si="24"/>
        <v>180472</v>
      </c>
      <c r="T94" s="95">
        <f t="shared" si="24"/>
        <v>180472</v>
      </c>
      <c r="U94" s="95">
        <f t="shared" si="24"/>
        <v>180472</v>
      </c>
      <c r="V94" s="95">
        <f t="shared" si="24"/>
        <v>180472</v>
      </c>
      <c r="W94" s="95">
        <f t="shared" si="24"/>
        <v>180472</v>
      </c>
      <c r="X94" s="95"/>
      <c r="Y94" s="96"/>
      <c r="Z94" s="96"/>
      <c r="AA94" s="96"/>
      <c r="AB94" s="96"/>
      <c r="AC94" s="96"/>
      <c r="AD94" s="280"/>
      <c r="AE94" s="97"/>
      <c r="AF94" s="97"/>
      <c r="AG94" s="493"/>
      <c r="AH94" s="917"/>
    </row>
    <row r="95" s="4" customFormat="1" ht="16.5" customHeight="1" spans="1:36">
      <c r="A95" s="100" t="s">
        <v>1357</v>
      </c>
      <c r="B95" s="100"/>
      <c r="C95" s="100"/>
      <c r="D95" s="100"/>
      <c r="E95" s="100"/>
      <c r="F95" s="100"/>
      <c r="G95" s="100"/>
      <c r="H95" s="100"/>
      <c r="I95" s="100"/>
      <c r="J95" s="134">
        <f>SUM(L95:W95)</f>
        <v>2093664</v>
      </c>
      <c r="K95" s="100"/>
      <c r="L95" s="100">
        <f t="shared" ref="L95:W95" si="25">25288+620+6184+21120+50400+23040+47520+300</f>
        <v>174472</v>
      </c>
      <c r="M95" s="100">
        <f t="shared" si="25"/>
        <v>174472</v>
      </c>
      <c r="N95" s="100">
        <f t="shared" si="25"/>
        <v>174472</v>
      </c>
      <c r="O95" s="100">
        <f t="shared" si="25"/>
        <v>174472</v>
      </c>
      <c r="P95" s="100">
        <f t="shared" si="25"/>
        <v>174472</v>
      </c>
      <c r="Q95" s="100">
        <f t="shared" si="25"/>
        <v>174472</v>
      </c>
      <c r="R95" s="100">
        <f t="shared" si="25"/>
        <v>174472</v>
      </c>
      <c r="S95" s="100">
        <f t="shared" si="25"/>
        <v>174472</v>
      </c>
      <c r="T95" s="100">
        <f t="shared" si="25"/>
        <v>174472</v>
      </c>
      <c r="U95" s="100">
        <f t="shared" si="25"/>
        <v>174472</v>
      </c>
      <c r="V95" s="100">
        <f t="shared" si="25"/>
        <v>174472</v>
      </c>
      <c r="W95" s="100">
        <f t="shared" si="25"/>
        <v>174472</v>
      </c>
      <c r="X95" s="147"/>
      <c r="Y95" s="100"/>
      <c r="Z95" s="100"/>
      <c r="AA95" s="100"/>
      <c r="AB95" s="100"/>
      <c r="AC95" s="96"/>
      <c r="AD95" s="1011"/>
      <c r="AE95" s="100"/>
      <c r="AF95" s="100"/>
      <c r="AG95" s="1012"/>
      <c r="AH95" s="918"/>
    </row>
    <row r="96" s="4" customFormat="1" ht="16.5" customHeight="1" spans="1:36">
      <c r="A96" s="220" t="s">
        <v>67</v>
      </c>
      <c r="B96" s="220"/>
      <c r="C96" s="220"/>
      <c r="D96" s="220"/>
      <c r="E96" s="220"/>
      <c r="F96" s="220"/>
      <c r="G96" s="220"/>
      <c r="H96" s="220"/>
      <c r="I96" s="220"/>
      <c r="J96" s="919">
        <f>SUM(L96:W96)</f>
        <v>-72000</v>
      </c>
      <c r="K96" s="920"/>
      <c r="L96" s="919">
        <f t="shared" ref="L96:W96" si="26">L95-L94</f>
        <v>-6000</v>
      </c>
      <c r="M96" s="919">
        <f t="shared" si="26"/>
        <v>-6000</v>
      </c>
      <c r="N96" s="919">
        <f t="shared" si="26"/>
        <v>-6000</v>
      </c>
      <c r="O96" s="919">
        <f t="shared" si="26"/>
        <v>-6000</v>
      </c>
      <c r="P96" s="919">
        <f t="shared" si="26"/>
        <v>-6000</v>
      </c>
      <c r="Q96" s="919">
        <f t="shared" si="26"/>
        <v>-6000</v>
      </c>
      <c r="R96" s="919">
        <f t="shared" si="26"/>
        <v>-6000</v>
      </c>
      <c r="S96" s="919">
        <f t="shared" si="26"/>
        <v>-6000</v>
      </c>
      <c r="T96" s="919">
        <f t="shared" si="26"/>
        <v>-6000</v>
      </c>
      <c r="U96" s="919">
        <f t="shared" si="26"/>
        <v>-6000</v>
      </c>
      <c r="V96" s="919">
        <f t="shared" si="26"/>
        <v>-6000</v>
      </c>
      <c r="W96" s="919">
        <f t="shared" si="26"/>
        <v>-6000</v>
      </c>
      <c r="X96" s="151"/>
      <c r="Y96" s="151"/>
      <c r="Z96" s="151"/>
      <c r="AA96" s="151"/>
      <c r="AB96" s="151"/>
      <c r="AC96" s="151"/>
      <c r="AD96" s="1011"/>
      <c r="AE96" s="100"/>
      <c r="AF96" s="100"/>
      <c r="AG96" s="1012"/>
      <c r="AH96" s="918"/>
    </row>
    <row r="97" ht="17.1" customHeight="1" spans="2:35">
      <c r="B97" s="1013" t="s">
        <v>68</v>
      </c>
      <c r="C97" s="1013"/>
      <c r="D97" s="1013"/>
      <c r="E97" s="1013"/>
      <c r="F97" s="1013"/>
      <c r="G97" s="1013"/>
      <c r="H97" s="1013"/>
      <c r="I97" s="1013"/>
      <c r="J97" s="250"/>
      <c r="AC97" s="192"/>
      <c r="AE97" s="193"/>
      <c r="AF97" s="193"/>
      <c r="AG97" s="1014"/>
      <c r="AH97" s="194"/>
      <c r="AI97" s="193"/>
    </row>
  </sheetData>
  <autoFilter xmlns:etc="http://www.wps.cn/officeDocument/2017/etCustomData" ref="A3:AJ97" etc:filterBottomFollowUsedRange="0">
    <filterColumn colId="32">
      <filters blank="1"/>
    </filterColumn>
    <sortState ref="A3:AJ97">
      <sortCondition ref="AD3"/>
    </sortState>
    <extLst/>
  </autoFilter>
  <mergeCells count="29">
    <mergeCell ref="A1:AD1"/>
    <mergeCell ref="AE1:AF1"/>
    <mergeCell ref="AG1:AH1"/>
    <mergeCell ref="L2:W2"/>
    <mergeCell ref="A94:I94"/>
    <mergeCell ref="A95:I95"/>
    <mergeCell ref="A96:I96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</mergeCells>
  <conditionalFormatting sqref="X96:AC96">
    <cfRule type="cellIs" dxfId="0" priority="1" operator="lessThan">
      <formula>0</formula>
    </cfRule>
  </conditionalFormatting>
  <printOptions horizontalCentered="1"/>
  <pageMargins left="0.314583333333333" right="0.314583333333333" top="0.196527777777778" bottom="0.0784722222222222" header="0.314583333333333" footer="0.314583333333333"/>
  <pageSetup paperSize="9" scale="66" fitToHeight="0" orientation="landscape" horizontalDpi="600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F4578"/>
  </sheetPr>
  <dimension ref="A1:AF38"/>
  <sheetViews>
    <sheetView zoomScaleSheetLayoutView="115" workbookViewId="0">
      <pane xSplit="11" ySplit="3" topLeftCell="L4" activePane="bottomRight" state="frozen"/>
      <selection/>
      <selection pane="topRight"/>
      <selection pane="bottomLeft"/>
      <selection pane="bottomRight" activeCell="AB31" sqref="AB31"/>
    </sheetView>
  </sheetViews>
  <sheetFormatPr defaultColWidth="9" defaultRowHeight="14.25"/>
  <cols>
    <col min="1" max="1" width="3.875" customWidth="1"/>
    <col min="2" max="2" width="8.125" customWidth="1"/>
    <col min="3" max="3" width="6" customWidth="1"/>
    <col min="4" max="5" width="12.125" customWidth="1"/>
    <col min="6" max="6" width="6.375" customWidth="1"/>
    <col min="7" max="7" width="6.5" customWidth="1"/>
    <col min="8" max="9" width="5.875" customWidth="1"/>
    <col min="10" max="10" width="7.125" customWidth="1"/>
    <col min="11" max="11" width="5.125" customWidth="1"/>
    <col min="12" max="16" width="6.625" customWidth="1"/>
    <col min="17" max="17" width="5.625" style="288" customWidth="1"/>
    <col min="18" max="18" width="5.125" style="288" customWidth="1"/>
    <col min="19" max="19" width="7.75" customWidth="1"/>
    <col min="20" max="20" width="5.375" customWidth="1"/>
    <col min="21" max="23" width="6.625" customWidth="1"/>
    <col min="24" max="24" width="6.875" customWidth="1"/>
    <col min="25" max="25" width="19.875" customWidth="1"/>
    <col min="26" max="26" width="8.5" customWidth="1"/>
    <col min="27" max="27" width="8.375" style="193" customWidth="1"/>
    <col min="28" max="28" width="9.25" style="193" customWidth="1"/>
    <col min="29" max="29" width="7.625" style="193" customWidth="1"/>
    <col min="30" max="30" width="16.5" style="194" customWidth="1"/>
    <col min="31" max="31" width="17.625" customWidth="1"/>
    <col min="32" max="32" width="11.625" customWidth="1"/>
  </cols>
  <sheetData>
    <row r="1" ht="35.1" customHeight="1" spans="1:32">
      <c r="A1" s="256" t="s">
        <v>1505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8"/>
      <c r="Z1" s="197" t="s">
        <v>1</v>
      </c>
      <c r="AA1" s="198"/>
      <c r="AB1" s="199"/>
      <c r="AC1" s="200">
        <f ca="1">TODAY()</f>
        <v>46277</v>
      </c>
      <c r="AD1" s="201"/>
    </row>
    <row r="2" s="446" customFormat="1" ht="21.95" customHeight="1" spans="1:32">
      <c r="A2" s="14" t="s">
        <v>2</v>
      </c>
      <c r="B2" s="470" t="s">
        <v>3</v>
      </c>
      <c r="C2" s="470" t="s">
        <v>4</v>
      </c>
      <c r="D2" s="470" t="s">
        <v>5</v>
      </c>
      <c r="E2" s="93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937" t="s">
        <v>13</v>
      </c>
      <c r="M2" s="938"/>
      <c r="N2" s="938"/>
      <c r="O2" s="938"/>
      <c r="P2" s="939"/>
      <c r="Q2" s="472" t="s">
        <v>180</v>
      </c>
      <c r="R2" s="472"/>
      <c r="S2" s="472"/>
      <c r="T2" s="21" t="s">
        <v>177</v>
      </c>
      <c r="U2" s="474" t="s">
        <v>71</v>
      </c>
      <c r="V2" s="966" t="s">
        <v>1081</v>
      </c>
      <c r="W2" s="966" t="s">
        <v>18</v>
      </c>
      <c r="X2" s="474" t="s">
        <v>19</v>
      </c>
      <c r="Y2" s="475" t="s">
        <v>21</v>
      </c>
      <c r="Z2" s="19" t="s">
        <v>22</v>
      </c>
      <c r="AA2" s="204" t="s">
        <v>23</v>
      </c>
      <c r="AB2" s="204" t="s">
        <v>24</v>
      </c>
      <c r="AC2" s="204" t="s">
        <v>25</v>
      </c>
      <c r="AD2" s="476" t="s">
        <v>26</v>
      </c>
    </row>
    <row r="3" s="446" customFormat="1" ht="28.5" customHeight="1" spans="1:32">
      <c r="A3" s="14"/>
      <c r="B3" s="470"/>
      <c r="C3" s="470"/>
      <c r="D3" s="470"/>
      <c r="E3" s="941"/>
      <c r="F3" s="15"/>
      <c r="G3" s="15"/>
      <c r="H3" s="15"/>
      <c r="I3" s="15"/>
      <c r="J3" s="15"/>
      <c r="K3" s="15"/>
      <c r="L3" s="264" t="s">
        <v>1506</v>
      </c>
      <c r="M3" s="264" t="s">
        <v>1507</v>
      </c>
      <c r="N3" s="264" t="s">
        <v>1508</v>
      </c>
      <c r="O3" s="264" t="s">
        <v>1509</v>
      </c>
      <c r="P3" s="264" t="s">
        <v>1510</v>
      </c>
      <c r="Q3" s="942" t="s">
        <v>186</v>
      </c>
      <c r="R3" s="19" t="s">
        <v>187</v>
      </c>
      <c r="S3" s="19" t="s">
        <v>73</v>
      </c>
      <c r="T3" s="21"/>
      <c r="U3" s="474"/>
      <c r="V3" s="967"/>
      <c r="W3" s="967"/>
      <c r="X3" s="474"/>
      <c r="Y3" s="475"/>
      <c r="Z3" s="19"/>
      <c r="AA3" s="204"/>
      <c r="AB3" s="204"/>
      <c r="AC3" s="204"/>
      <c r="AD3" s="476"/>
      <c r="AE3" s="446" t="s">
        <v>65</v>
      </c>
      <c r="AF3" s="968" t="s">
        <v>996</v>
      </c>
    </row>
    <row r="4" s="3" customFormat="1" ht="27" hidden="1" customHeight="1" spans="1:32">
      <c r="A4" s="208">
        <f t="shared" ref="A4:A16" si="0">ROW()-3</f>
        <v>1</v>
      </c>
      <c r="B4" s="48" t="s">
        <v>209</v>
      </c>
      <c r="C4" s="49" t="s">
        <v>909</v>
      </c>
      <c r="D4" s="50" t="s">
        <v>1012</v>
      </c>
      <c r="E4" s="50" t="s">
        <v>1013</v>
      </c>
      <c r="F4" s="52">
        <v>46035</v>
      </c>
      <c r="G4" s="52">
        <v>46116</v>
      </c>
      <c r="H4" s="52">
        <v>46116</v>
      </c>
      <c r="I4" s="53">
        <v>46042</v>
      </c>
      <c r="J4" s="175">
        <f t="shared" ref="J4:J16" si="1">SUM(L4:P4)</f>
        <v>13680</v>
      </c>
      <c r="K4" s="175">
        <v>15</v>
      </c>
      <c r="L4" s="175">
        <v>2736</v>
      </c>
      <c r="M4" s="175">
        <f t="shared" ref="M4:M14" si="2">$L4</f>
        <v>2736</v>
      </c>
      <c r="N4" s="175">
        <f t="shared" ref="N4:N14" si="3">$L4</f>
        <v>2736</v>
      </c>
      <c r="O4" s="175">
        <f t="shared" ref="O4:O14" si="4">$L4</f>
        <v>2736</v>
      </c>
      <c r="P4" s="175">
        <f t="shared" ref="P4:P14" si="5">$L4</f>
        <v>2736</v>
      </c>
      <c r="Q4" s="969" t="s">
        <v>1511</v>
      </c>
      <c r="R4" s="969" t="s">
        <v>81</v>
      </c>
      <c r="S4" s="969" t="s">
        <v>1512</v>
      </c>
      <c r="T4" s="49" t="s">
        <v>196</v>
      </c>
      <c r="U4" s="211" t="s">
        <v>1511</v>
      </c>
      <c r="V4" s="211" t="s">
        <v>1513</v>
      </c>
      <c r="W4" s="211" t="s">
        <v>1511</v>
      </c>
      <c r="X4" s="48" t="s">
        <v>1036</v>
      </c>
      <c r="Y4" s="48" t="s">
        <v>1514</v>
      </c>
      <c r="Z4" s="176">
        <v>46114</v>
      </c>
      <c r="AA4" s="211">
        <v>46100</v>
      </c>
      <c r="AB4" s="176"/>
      <c r="AC4" s="176">
        <v>46125</v>
      </c>
      <c r="AD4" s="1284" t="s">
        <v>1015</v>
      </c>
      <c r="AE4" s="3" t="s">
        <v>1515</v>
      </c>
    </row>
    <row r="5" s="3" customFormat="1" ht="27" hidden="1" customHeight="1" spans="1:32">
      <c r="A5" s="208">
        <f t="shared" si="0"/>
        <v>2</v>
      </c>
      <c r="B5" s="48" t="s">
        <v>209</v>
      </c>
      <c r="C5" s="49" t="s">
        <v>909</v>
      </c>
      <c r="D5" s="50" t="s">
        <v>1016</v>
      </c>
      <c r="E5" s="50" t="s">
        <v>1017</v>
      </c>
      <c r="F5" s="52">
        <v>46035</v>
      </c>
      <c r="G5" s="52">
        <v>46116</v>
      </c>
      <c r="H5" s="52">
        <v>46116</v>
      </c>
      <c r="I5" s="53">
        <v>46042</v>
      </c>
      <c r="J5" s="175">
        <f t="shared" si="1"/>
        <v>19440</v>
      </c>
      <c r="K5" s="175">
        <v>15</v>
      </c>
      <c r="L5" s="175">
        <v>3888</v>
      </c>
      <c r="M5" s="175">
        <f t="shared" si="2"/>
        <v>3888</v>
      </c>
      <c r="N5" s="175">
        <f t="shared" si="3"/>
        <v>3888</v>
      </c>
      <c r="O5" s="175">
        <f t="shared" si="4"/>
        <v>3888</v>
      </c>
      <c r="P5" s="175">
        <f t="shared" si="5"/>
        <v>3888</v>
      </c>
      <c r="Q5" s="969" t="s">
        <v>1511</v>
      </c>
      <c r="R5" s="969" t="s">
        <v>81</v>
      </c>
      <c r="S5" s="969" t="s">
        <v>1512</v>
      </c>
      <c r="T5" s="49" t="s">
        <v>196</v>
      </c>
      <c r="U5" s="211" t="s">
        <v>1511</v>
      </c>
      <c r="V5" s="211" t="s">
        <v>1513</v>
      </c>
      <c r="W5" s="211" t="s">
        <v>1511</v>
      </c>
      <c r="X5" s="48" t="s">
        <v>1036</v>
      </c>
      <c r="Y5" s="48" t="s">
        <v>1514</v>
      </c>
      <c r="Z5" s="176">
        <v>46114</v>
      </c>
      <c r="AA5" s="211">
        <v>46100</v>
      </c>
      <c r="AB5" s="176"/>
      <c r="AC5" s="176">
        <v>46119</v>
      </c>
      <c r="AD5" s="1284" t="s">
        <v>1018</v>
      </c>
      <c r="AE5" s="3" t="s">
        <v>1515</v>
      </c>
    </row>
    <row r="6" s="3" customFormat="1" ht="27" hidden="1" customHeight="1" spans="1:32">
      <c r="A6" s="208">
        <f t="shared" si="0"/>
        <v>3</v>
      </c>
      <c r="B6" s="48" t="s">
        <v>209</v>
      </c>
      <c r="C6" s="49" t="s">
        <v>909</v>
      </c>
      <c r="D6" s="50" t="s">
        <v>1019</v>
      </c>
      <c r="E6" s="50" t="s">
        <v>1020</v>
      </c>
      <c r="F6" s="52">
        <v>46035</v>
      </c>
      <c r="G6" s="52">
        <v>46116</v>
      </c>
      <c r="H6" s="52">
        <v>46116</v>
      </c>
      <c r="I6" s="53">
        <v>46042</v>
      </c>
      <c r="J6" s="175">
        <f t="shared" si="1"/>
        <v>28800</v>
      </c>
      <c r="K6" s="175">
        <v>15</v>
      </c>
      <c r="L6" s="175">
        <v>5760</v>
      </c>
      <c r="M6" s="175">
        <f t="shared" si="2"/>
        <v>5760</v>
      </c>
      <c r="N6" s="175">
        <f t="shared" si="3"/>
        <v>5760</v>
      </c>
      <c r="O6" s="175">
        <f t="shared" si="4"/>
        <v>5760</v>
      </c>
      <c r="P6" s="175">
        <f t="shared" si="5"/>
        <v>5760</v>
      </c>
      <c r="Q6" s="969" t="s">
        <v>1511</v>
      </c>
      <c r="R6" s="969" t="s">
        <v>81</v>
      </c>
      <c r="S6" s="969" t="s">
        <v>1512</v>
      </c>
      <c r="T6" s="49" t="s">
        <v>196</v>
      </c>
      <c r="U6" s="211" t="s">
        <v>1511</v>
      </c>
      <c r="V6" s="211" t="s">
        <v>1513</v>
      </c>
      <c r="W6" s="211" t="s">
        <v>1511</v>
      </c>
      <c r="X6" s="48" t="s">
        <v>1036</v>
      </c>
      <c r="Y6" s="48" t="s">
        <v>1514</v>
      </c>
      <c r="Z6" s="176">
        <v>46114</v>
      </c>
      <c r="AA6" s="211">
        <v>46100</v>
      </c>
      <c r="AB6" s="176"/>
      <c r="AC6" s="176">
        <v>46112</v>
      </c>
      <c r="AD6" s="1284" t="s">
        <v>1022</v>
      </c>
      <c r="AE6" s="3" t="s">
        <v>1515</v>
      </c>
    </row>
    <row r="7" s="3" customFormat="1" ht="27" hidden="1" customHeight="1" spans="1:32">
      <c r="A7" s="208">
        <f t="shared" si="0"/>
        <v>4</v>
      </c>
      <c r="B7" s="48" t="s">
        <v>209</v>
      </c>
      <c r="C7" s="49" t="s">
        <v>909</v>
      </c>
      <c r="D7" s="50" t="s">
        <v>1023</v>
      </c>
      <c r="E7" s="50" t="s">
        <v>1024</v>
      </c>
      <c r="F7" s="52">
        <v>46035</v>
      </c>
      <c r="G7" s="52">
        <v>46116</v>
      </c>
      <c r="H7" s="52">
        <v>46116</v>
      </c>
      <c r="I7" s="53">
        <v>46042</v>
      </c>
      <c r="J7" s="175">
        <f t="shared" si="1"/>
        <v>12960</v>
      </c>
      <c r="K7" s="175">
        <v>15</v>
      </c>
      <c r="L7" s="175">
        <v>2592</v>
      </c>
      <c r="M7" s="175">
        <f t="shared" si="2"/>
        <v>2592</v>
      </c>
      <c r="N7" s="175">
        <f t="shared" si="3"/>
        <v>2592</v>
      </c>
      <c r="O7" s="175">
        <f t="shared" si="4"/>
        <v>2592</v>
      </c>
      <c r="P7" s="175">
        <f t="shared" si="5"/>
        <v>2592</v>
      </c>
      <c r="Q7" s="969" t="s">
        <v>1511</v>
      </c>
      <c r="R7" s="969" t="s">
        <v>81</v>
      </c>
      <c r="S7" s="969" t="s">
        <v>1512</v>
      </c>
      <c r="T7" s="49" t="s">
        <v>196</v>
      </c>
      <c r="U7" s="211" t="s">
        <v>1511</v>
      </c>
      <c r="V7" s="211" t="s">
        <v>1513</v>
      </c>
      <c r="W7" s="211" t="s">
        <v>1511</v>
      </c>
      <c r="X7" s="48" t="s">
        <v>1036</v>
      </c>
      <c r="Y7" s="48" t="s">
        <v>1514</v>
      </c>
      <c r="Z7" s="176">
        <v>46114</v>
      </c>
      <c r="AA7" s="211">
        <v>46100</v>
      </c>
      <c r="AB7" s="176"/>
      <c r="AC7" s="176">
        <v>46119</v>
      </c>
      <c r="AD7" s="1284" t="s">
        <v>1025</v>
      </c>
      <c r="AE7" s="3" t="s">
        <v>1515</v>
      </c>
    </row>
    <row r="8" s="3" customFormat="1" ht="27" hidden="1" customHeight="1" spans="1:32">
      <c r="A8" s="208">
        <f t="shared" si="0"/>
        <v>5</v>
      </c>
      <c r="B8" s="48" t="s">
        <v>209</v>
      </c>
      <c r="C8" s="49" t="s">
        <v>909</v>
      </c>
      <c r="D8" s="50" t="s">
        <v>1026</v>
      </c>
      <c r="E8" s="50" t="s">
        <v>1027</v>
      </c>
      <c r="F8" s="52">
        <v>46035</v>
      </c>
      <c r="G8" s="52">
        <v>46116</v>
      </c>
      <c r="H8" s="52">
        <v>46116</v>
      </c>
      <c r="I8" s="53">
        <v>46042</v>
      </c>
      <c r="J8" s="175">
        <f t="shared" si="1"/>
        <v>18720</v>
      </c>
      <c r="K8" s="175">
        <v>15</v>
      </c>
      <c r="L8" s="175">
        <v>3744</v>
      </c>
      <c r="M8" s="175">
        <f t="shared" si="2"/>
        <v>3744</v>
      </c>
      <c r="N8" s="175">
        <f t="shared" si="3"/>
        <v>3744</v>
      </c>
      <c r="O8" s="175">
        <f t="shared" si="4"/>
        <v>3744</v>
      </c>
      <c r="P8" s="175">
        <f t="shared" si="5"/>
        <v>3744</v>
      </c>
      <c r="Q8" s="969" t="s">
        <v>918</v>
      </c>
      <c r="R8" s="969" t="s">
        <v>81</v>
      </c>
      <c r="S8" s="969" t="s">
        <v>1512</v>
      </c>
      <c r="T8" s="49" t="s">
        <v>196</v>
      </c>
      <c r="U8" s="211" t="s">
        <v>1516</v>
      </c>
      <c r="V8" s="211" t="s">
        <v>1517</v>
      </c>
      <c r="W8" s="211" t="s">
        <v>920</v>
      </c>
      <c r="X8" s="48" t="s">
        <v>1036</v>
      </c>
      <c r="Y8" s="48" t="s">
        <v>1514</v>
      </c>
      <c r="Z8" s="176">
        <v>46114</v>
      </c>
      <c r="AA8" s="211">
        <v>46100</v>
      </c>
      <c r="AB8" s="176"/>
      <c r="AC8" s="176">
        <v>46125</v>
      </c>
      <c r="AD8" s="1284" t="s">
        <v>1028</v>
      </c>
      <c r="AE8" s="3" t="s">
        <v>1515</v>
      </c>
    </row>
    <row r="9" s="3" customFormat="1" ht="36.95" hidden="1" customHeight="1" spans="1:32">
      <c r="A9" s="208">
        <f t="shared" si="0"/>
        <v>6</v>
      </c>
      <c r="B9" s="48" t="s">
        <v>209</v>
      </c>
      <c r="C9" s="49" t="s">
        <v>909</v>
      </c>
      <c r="D9" s="50" t="s">
        <v>1029</v>
      </c>
      <c r="E9" s="50" t="s">
        <v>1030</v>
      </c>
      <c r="F9" s="52">
        <v>46035</v>
      </c>
      <c r="G9" s="52">
        <v>46116</v>
      </c>
      <c r="H9" s="52">
        <v>46116</v>
      </c>
      <c r="I9" s="53">
        <v>46042</v>
      </c>
      <c r="J9" s="175">
        <f t="shared" si="1"/>
        <v>24480</v>
      </c>
      <c r="K9" s="175">
        <v>15</v>
      </c>
      <c r="L9" s="175">
        <v>4896</v>
      </c>
      <c r="M9" s="175">
        <f t="shared" si="2"/>
        <v>4896</v>
      </c>
      <c r="N9" s="175">
        <f t="shared" si="3"/>
        <v>4896</v>
      </c>
      <c r="O9" s="175">
        <f t="shared" si="4"/>
        <v>4896</v>
      </c>
      <c r="P9" s="175">
        <f t="shared" si="5"/>
        <v>4896</v>
      </c>
      <c r="Q9" s="969" t="s">
        <v>1511</v>
      </c>
      <c r="R9" s="969" t="s">
        <v>81</v>
      </c>
      <c r="S9" s="969" t="s">
        <v>1512</v>
      </c>
      <c r="T9" s="49" t="s">
        <v>196</v>
      </c>
      <c r="U9" s="211" t="s">
        <v>1511</v>
      </c>
      <c r="V9" s="211" t="s">
        <v>1513</v>
      </c>
      <c r="W9" s="211" t="s">
        <v>1511</v>
      </c>
      <c r="X9" s="48" t="s">
        <v>1036</v>
      </c>
      <c r="Y9" s="48" t="s">
        <v>1514</v>
      </c>
      <c r="Z9" s="176">
        <v>46114</v>
      </c>
      <c r="AA9" s="211">
        <v>46114</v>
      </c>
      <c r="AB9" s="176"/>
      <c r="AC9" s="211" t="s">
        <v>1518</v>
      </c>
      <c r="AD9" s="1284" t="s">
        <v>1031</v>
      </c>
      <c r="AE9" s="3" t="s">
        <v>1515</v>
      </c>
    </row>
    <row r="10" s="3" customFormat="1" ht="27" hidden="1" customHeight="1" spans="1:32">
      <c r="A10" s="208">
        <f t="shared" si="0"/>
        <v>7</v>
      </c>
      <c r="B10" s="48" t="s">
        <v>209</v>
      </c>
      <c r="C10" s="49" t="s">
        <v>909</v>
      </c>
      <c r="D10" s="50" t="s">
        <v>1032</v>
      </c>
      <c r="E10" s="50" t="s">
        <v>1033</v>
      </c>
      <c r="F10" s="52">
        <v>46035</v>
      </c>
      <c r="G10" s="52">
        <v>46116</v>
      </c>
      <c r="H10" s="52">
        <v>46116</v>
      </c>
      <c r="I10" s="53">
        <v>46042</v>
      </c>
      <c r="J10" s="175">
        <f t="shared" si="1"/>
        <v>31680</v>
      </c>
      <c r="K10" s="175">
        <v>15</v>
      </c>
      <c r="L10" s="175">
        <v>6336</v>
      </c>
      <c r="M10" s="175">
        <f t="shared" si="2"/>
        <v>6336</v>
      </c>
      <c r="N10" s="175">
        <f t="shared" si="3"/>
        <v>6336</v>
      </c>
      <c r="O10" s="175">
        <f t="shared" si="4"/>
        <v>6336</v>
      </c>
      <c r="P10" s="175">
        <f t="shared" si="5"/>
        <v>6336</v>
      </c>
      <c r="Q10" s="969" t="s">
        <v>918</v>
      </c>
      <c r="R10" s="969" t="s">
        <v>81</v>
      </c>
      <c r="S10" s="969" t="s">
        <v>1512</v>
      </c>
      <c r="T10" s="49" t="s">
        <v>196</v>
      </c>
      <c r="U10" s="211" t="s">
        <v>1036</v>
      </c>
      <c r="V10" s="211" t="s">
        <v>1519</v>
      </c>
      <c r="W10" s="211" t="s">
        <v>920</v>
      </c>
      <c r="X10" s="48" t="s">
        <v>1036</v>
      </c>
      <c r="Y10" s="48" t="s">
        <v>1514</v>
      </c>
      <c r="Z10" s="176">
        <v>46114</v>
      </c>
      <c r="AA10" s="211">
        <v>46114</v>
      </c>
      <c r="AB10" s="176"/>
      <c r="AC10" s="176">
        <v>46125</v>
      </c>
      <c r="AD10" s="1284" t="s">
        <v>1034</v>
      </c>
      <c r="AE10" s="3" t="s">
        <v>1515</v>
      </c>
    </row>
    <row r="11" s="3" customFormat="1" ht="27" hidden="1" customHeight="1" spans="1:32">
      <c r="A11" s="208">
        <f t="shared" si="0"/>
        <v>8</v>
      </c>
      <c r="B11" s="48" t="s">
        <v>209</v>
      </c>
      <c r="C11" s="49" t="s">
        <v>909</v>
      </c>
      <c r="D11" s="50" t="s">
        <v>923</v>
      </c>
      <c r="E11" s="50" t="s">
        <v>924</v>
      </c>
      <c r="F11" s="52">
        <v>46050</v>
      </c>
      <c r="G11" s="52">
        <v>46124</v>
      </c>
      <c r="H11" s="52">
        <v>46124</v>
      </c>
      <c r="I11" s="53">
        <v>46052</v>
      </c>
      <c r="J11" s="175">
        <f t="shared" si="1"/>
        <v>7200</v>
      </c>
      <c r="K11" s="175">
        <v>15</v>
      </c>
      <c r="L11" s="175">
        <v>1440</v>
      </c>
      <c r="M11" s="175">
        <f t="shared" si="2"/>
        <v>1440</v>
      </c>
      <c r="N11" s="175">
        <f t="shared" si="3"/>
        <v>1440</v>
      </c>
      <c r="O11" s="175">
        <f t="shared" si="4"/>
        <v>1440</v>
      </c>
      <c r="P11" s="175">
        <f t="shared" si="5"/>
        <v>1440</v>
      </c>
      <c r="Q11" s="969" t="s">
        <v>1520</v>
      </c>
      <c r="R11" s="969" t="s">
        <v>81</v>
      </c>
      <c r="S11" s="969" t="s">
        <v>1512</v>
      </c>
      <c r="T11" s="49" t="s">
        <v>196</v>
      </c>
      <c r="U11" s="211" t="s">
        <v>1036</v>
      </c>
      <c r="V11" s="211" t="s">
        <v>1519</v>
      </c>
      <c r="W11" s="211" t="s">
        <v>1521</v>
      </c>
      <c r="X11" s="48" t="s">
        <v>1036</v>
      </c>
      <c r="Y11" s="48" t="s">
        <v>1514</v>
      </c>
      <c r="Z11" s="176">
        <v>46126</v>
      </c>
      <c r="AA11" s="211">
        <v>46128</v>
      </c>
      <c r="AB11" s="176"/>
      <c r="AC11" s="176">
        <v>46134</v>
      </c>
      <c r="AD11" s="1284" t="s">
        <v>925</v>
      </c>
      <c r="AE11" s="3" t="s">
        <v>1515</v>
      </c>
    </row>
    <row r="12" s="3" customFormat="1" ht="27" hidden="1" customHeight="1" spans="1:32">
      <c r="A12" s="208">
        <f t="shared" si="0"/>
        <v>9</v>
      </c>
      <c r="B12" s="48" t="s">
        <v>209</v>
      </c>
      <c r="C12" s="49" t="s">
        <v>909</v>
      </c>
      <c r="D12" s="50" t="s">
        <v>1043</v>
      </c>
      <c r="E12" s="50" t="s">
        <v>1044</v>
      </c>
      <c r="F12" s="52">
        <v>46050</v>
      </c>
      <c r="G12" s="52">
        <v>46124</v>
      </c>
      <c r="H12" s="52">
        <v>46124</v>
      </c>
      <c r="I12" s="53">
        <v>46052</v>
      </c>
      <c r="J12" s="175">
        <f t="shared" si="1"/>
        <v>7170</v>
      </c>
      <c r="K12" s="175">
        <v>15</v>
      </c>
      <c r="L12" s="175">
        <v>1434</v>
      </c>
      <c r="M12" s="175">
        <f t="shared" si="2"/>
        <v>1434</v>
      </c>
      <c r="N12" s="175">
        <f t="shared" si="3"/>
        <v>1434</v>
      </c>
      <c r="O12" s="175">
        <f t="shared" si="4"/>
        <v>1434</v>
      </c>
      <c r="P12" s="175">
        <f t="shared" si="5"/>
        <v>1434</v>
      </c>
      <c r="Q12" s="969" t="s">
        <v>1520</v>
      </c>
      <c r="R12" s="969" t="s">
        <v>81</v>
      </c>
      <c r="S12" s="969" t="s">
        <v>1512</v>
      </c>
      <c r="T12" s="49" t="s">
        <v>196</v>
      </c>
      <c r="U12" s="211" t="s">
        <v>1036</v>
      </c>
      <c r="V12" s="211" t="s">
        <v>1519</v>
      </c>
      <c r="W12" s="211" t="s">
        <v>1521</v>
      </c>
      <c r="X12" s="48" t="s">
        <v>1036</v>
      </c>
      <c r="Y12" s="48" t="s">
        <v>1514</v>
      </c>
      <c r="Z12" s="176">
        <v>46126</v>
      </c>
      <c r="AA12" s="211">
        <v>46128</v>
      </c>
      <c r="AB12" s="176"/>
      <c r="AC12" s="176">
        <v>46133</v>
      </c>
      <c r="AD12" s="1284" t="s">
        <v>1045</v>
      </c>
      <c r="AE12" s="3" t="s">
        <v>1515</v>
      </c>
    </row>
    <row r="13" s="3" customFormat="1" ht="27" hidden="1" customHeight="1" spans="1:32">
      <c r="A13" s="208">
        <f t="shared" si="0"/>
        <v>10</v>
      </c>
      <c r="B13" s="48" t="s">
        <v>209</v>
      </c>
      <c r="C13" s="49" t="s">
        <v>909</v>
      </c>
      <c r="D13" s="50" t="s">
        <v>1049</v>
      </c>
      <c r="E13" s="50" t="s">
        <v>1050</v>
      </c>
      <c r="F13" s="52">
        <v>46050</v>
      </c>
      <c r="G13" s="52">
        <v>46124</v>
      </c>
      <c r="H13" s="52">
        <v>46124</v>
      </c>
      <c r="I13" s="53">
        <v>46052</v>
      </c>
      <c r="J13" s="175">
        <f t="shared" si="1"/>
        <v>8640</v>
      </c>
      <c r="K13" s="175">
        <v>15</v>
      </c>
      <c r="L13" s="175">
        <v>1728</v>
      </c>
      <c r="M13" s="175">
        <f t="shared" si="2"/>
        <v>1728</v>
      </c>
      <c r="N13" s="175">
        <f t="shared" si="3"/>
        <v>1728</v>
      </c>
      <c r="O13" s="175">
        <f t="shared" si="4"/>
        <v>1728</v>
      </c>
      <c r="P13" s="175">
        <f t="shared" si="5"/>
        <v>1728</v>
      </c>
      <c r="Q13" s="969" t="s">
        <v>1520</v>
      </c>
      <c r="R13" s="969" t="s">
        <v>81</v>
      </c>
      <c r="S13" s="969" t="s">
        <v>1512</v>
      </c>
      <c r="T13" s="49" t="s">
        <v>196</v>
      </c>
      <c r="U13" s="211" t="s">
        <v>1036</v>
      </c>
      <c r="V13" s="211" t="s">
        <v>1519</v>
      </c>
      <c r="W13" s="211" t="s">
        <v>1521</v>
      </c>
      <c r="X13" s="48" t="s">
        <v>1036</v>
      </c>
      <c r="Y13" s="48" t="s">
        <v>1514</v>
      </c>
      <c r="Z13" s="176">
        <v>46126</v>
      </c>
      <c r="AA13" s="211">
        <v>46128</v>
      </c>
      <c r="AB13" s="176"/>
      <c r="AC13" s="176">
        <v>46137</v>
      </c>
      <c r="AD13" s="1284" t="s">
        <v>1051</v>
      </c>
      <c r="AE13" s="3" t="s">
        <v>1515</v>
      </c>
    </row>
    <row r="14" s="3" customFormat="1" ht="27" hidden="1" customHeight="1" spans="1:32">
      <c r="A14" s="208">
        <f t="shared" si="0"/>
        <v>11</v>
      </c>
      <c r="B14" s="48" t="s">
        <v>209</v>
      </c>
      <c r="C14" s="49" t="s">
        <v>909</v>
      </c>
      <c r="D14" s="50" t="s">
        <v>1052</v>
      </c>
      <c r="E14" s="50" t="s">
        <v>1053</v>
      </c>
      <c r="F14" s="52">
        <v>46050</v>
      </c>
      <c r="G14" s="52">
        <v>46124</v>
      </c>
      <c r="H14" s="52">
        <v>46124</v>
      </c>
      <c r="I14" s="53">
        <v>46052</v>
      </c>
      <c r="J14" s="175">
        <f t="shared" si="1"/>
        <v>7920</v>
      </c>
      <c r="K14" s="175">
        <v>15</v>
      </c>
      <c r="L14" s="175">
        <v>1584</v>
      </c>
      <c r="M14" s="175">
        <f t="shared" si="2"/>
        <v>1584</v>
      </c>
      <c r="N14" s="175">
        <f t="shared" si="3"/>
        <v>1584</v>
      </c>
      <c r="O14" s="175">
        <f t="shared" si="4"/>
        <v>1584</v>
      </c>
      <c r="P14" s="175">
        <f t="shared" si="5"/>
        <v>1584</v>
      </c>
      <c r="Q14" s="969" t="s">
        <v>1520</v>
      </c>
      <c r="R14" s="969" t="s">
        <v>81</v>
      </c>
      <c r="S14" s="969" t="s">
        <v>1512</v>
      </c>
      <c r="T14" s="49" t="s">
        <v>196</v>
      </c>
      <c r="U14" s="211" t="s">
        <v>1036</v>
      </c>
      <c r="V14" s="211" t="s">
        <v>1519</v>
      </c>
      <c r="W14" s="211" t="s">
        <v>1521</v>
      </c>
      <c r="X14" s="48" t="s">
        <v>1036</v>
      </c>
      <c r="Y14" s="48" t="s">
        <v>1514</v>
      </c>
      <c r="Z14" s="176">
        <v>46126</v>
      </c>
      <c r="AA14" s="211">
        <v>46128</v>
      </c>
      <c r="AB14" s="176"/>
      <c r="AC14" s="176">
        <v>46132</v>
      </c>
      <c r="AD14" s="1284" t="s">
        <v>1054</v>
      </c>
      <c r="AE14" s="3" t="s">
        <v>1515</v>
      </c>
    </row>
    <row r="15" s="3" customFormat="1" ht="27" hidden="1" customHeight="1" spans="1:32">
      <c r="A15" s="208">
        <f t="shared" si="0"/>
        <v>12</v>
      </c>
      <c r="B15" s="48" t="s">
        <v>209</v>
      </c>
      <c r="C15" s="49" t="s">
        <v>909</v>
      </c>
      <c r="D15" s="50" t="s">
        <v>1062</v>
      </c>
      <c r="E15" s="50" t="s">
        <v>1063</v>
      </c>
      <c r="F15" s="52">
        <v>46065</v>
      </c>
      <c r="G15" s="52">
        <v>46153</v>
      </c>
      <c r="H15" s="52">
        <v>46153</v>
      </c>
      <c r="I15" s="53">
        <v>46094</v>
      </c>
      <c r="J15" s="175">
        <f t="shared" si="1"/>
        <v>7170</v>
      </c>
      <c r="K15" s="175">
        <v>15</v>
      </c>
      <c r="L15" s="175">
        <v>1434</v>
      </c>
      <c r="M15" s="175">
        <v>1434</v>
      </c>
      <c r="N15" s="175">
        <v>1434</v>
      </c>
      <c r="O15" s="175">
        <v>1434</v>
      </c>
      <c r="P15" s="175">
        <v>1434</v>
      </c>
      <c r="Q15" s="969" t="s">
        <v>1065</v>
      </c>
      <c r="R15" s="969" t="s">
        <v>81</v>
      </c>
      <c r="S15" s="49" t="s">
        <v>1064</v>
      </c>
      <c r="T15" s="49" t="s">
        <v>196</v>
      </c>
      <c r="U15" s="211" t="s">
        <v>1066</v>
      </c>
      <c r="V15" s="211" t="s">
        <v>1522</v>
      </c>
      <c r="W15" s="211" t="s">
        <v>1523</v>
      </c>
      <c r="X15" s="48" t="s">
        <v>1066</v>
      </c>
      <c r="Y15" s="48" t="s">
        <v>1524</v>
      </c>
      <c r="Z15" s="176">
        <v>46153</v>
      </c>
      <c r="AA15" s="211">
        <v>46135</v>
      </c>
      <c r="AB15" s="176"/>
      <c r="AC15" s="176">
        <v>46164</v>
      </c>
      <c r="AD15" s="213" t="s">
        <v>1068</v>
      </c>
      <c r="AE15" s="3" t="s">
        <v>1515</v>
      </c>
    </row>
    <row r="16" s="3" customFormat="1" ht="27" hidden="1" customHeight="1" spans="1:32">
      <c r="A16" s="208">
        <f t="shared" si="0"/>
        <v>13</v>
      </c>
      <c r="B16" s="48" t="s">
        <v>1069</v>
      </c>
      <c r="C16" s="49" t="s">
        <v>114</v>
      </c>
      <c r="D16" s="50" t="s">
        <v>1070</v>
      </c>
      <c r="E16" s="50" t="s">
        <v>1071</v>
      </c>
      <c r="F16" s="52">
        <v>46361</v>
      </c>
      <c r="G16" s="52">
        <v>46175</v>
      </c>
      <c r="H16" s="52">
        <v>46175</v>
      </c>
      <c r="I16" s="53">
        <v>46091</v>
      </c>
      <c r="J16" s="175">
        <f t="shared" si="1"/>
        <v>3000</v>
      </c>
      <c r="K16" s="175">
        <v>15</v>
      </c>
      <c r="L16" s="175">
        <v>600</v>
      </c>
      <c r="M16" s="175">
        <v>600</v>
      </c>
      <c r="N16" s="175">
        <v>600</v>
      </c>
      <c r="O16" s="175">
        <v>600</v>
      </c>
      <c r="P16" s="175">
        <v>600</v>
      </c>
      <c r="Q16" s="49" t="s">
        <v>1065</v>
      </c>
      <c r="R16" s="49" t="s">
        <v>81</v>
      </c>
      <c r="S16" s="49" t="s">
        <v>499</v>
      </c>
      <c r="T16" s="49" t="s">
        <v>196</v>
      </c>
      <c r="U16" s="211" t="s">
        <v>1066</v>
      </c>
      <c r="V16" s="211" t="s">
        <v>1525</v>
      </c>
      <c r="W16" s="211" t="s">
        <v>1523</v>
      </c>
      <c r="X16" s="970" t="s">
        <v>1072</v>
      </c>
      <c r="Y16" s="48" t="s">
        <v>1526</v>
      </c>
      <c r="Z16" s="176">
        <v>46174</v>
      </c>
      <c r="AA16" s="211">
        <v>46177</v>
      </c>
      <c r="AB16" s="176"/>
      <c r="AC16" s="176">
        <v>46196</v>
      </c>
      <c r="AD16" s="213" t="s">
        <v>1074</v>
      </c>
      <c r="AE16" s="3" t="s">
        <v>1515</v>
      </c>
    </row>
    <row r="17" s="3" customFormat="1" ht="27" hidden="1" customHeight="1" spans="1:31">
      <c r="A17" s="215"/>
      <c r="B17" s="183" t="s">
        <v>1075</v>
      </c>
      <c r="C17" s="96"/>
      <c r="D17" s="216"/>
      <c r="E17" s="216"/>
      <c r="F17" s="217"/>
      <c r="G17" s="217"/>
      <c r="H17" s="217"/>
      <c r="I17" s="218"/>
      <c r="J17" s="95"/>
      <c r="K17" s="95"/>
      <c r="L17" s="277">
        <v>20</v>
      </c>
      <c r="M17" s="277">
        <v>20</v>
      </c>
      <c r="N17" s="277">
        <v>20</v>
      </c>
      <c r="O17" s="277">
        <v>20</v>
      </c>
      <c r="P17" s="277">
        <v>20</v>
      </c>
      <c r="Q17" s="962" t="s">
        <v>1065</v>
      </c>
      <c r="R17" s="962"/>
      <c r="S17" s="962"/>
      <c r="T17" s="96"/>
      <c r="U17" s="279"/>
      <c r="V17" s="279" t="s">
        <v>1527</v>
      </c>
      <c r="W17" s="279"/>
      <c r="X17" s="183"/>
      <c r="Y17" s="183"/>
      <c r="Z17" s="97"/>
      <c r="AA17" s="279"/>
      <c r="AB17" s="97"/>
      <c r="AC17" s="97">
        <v>46113</v>
      </c>
      <c r="AD17" s="224"/>
    </row>
    <row r="18" s="3" customFormat="1" ht="27" hidden="1" customHeight="1" spans="1:31">
      <c r="A18" s="208">
        <f>ROW()-3</f>
        <v>15</v>
      </c>
      <c r="B18" s="48" t="s">
        <v>209</v>
      </c>
      <c r="C18" s="49" t="s">
        <v>909</v>
      </c>
      <c r="D18" s="50" t="s">
        <v>931</v>
      </c>
      <c r="E18" s="50" t="s">
        <v>932</v>
      </c>
      <c r="F18" s="52">
        <v>46154</v>
      </c>
      <c r="G18" s="52">
        <v>46233</v>
      </c>
      <c r="H18" s="52">
        <v>46233</v>
      </c>
      <c r="I18" s="53">
        <v>46177</v>
      </c>
      <c r="J18" s="175">
        <f>SUBTOTAL(9,L18:P18)</f>
        <v>0</v>
      </c>
      <c r="K18" s="175">
        <v>15</v>
      </c>
      <c r="L18" s="175">
        <v>1434</v>
      </c>
      <c r="M18" s="175">
        <v>1434</v>
      </c>
      <c r="N18" s="175">
        <v>1434</v>
      </c>
      <c r="O18" s="175">
        <v>1434</v>
      </c>
      <c r="P18" s="175">
        <v>1434</v>
      </c>
      <c r="Q18" s="49" t="s">
        <v>1528</v>
      </c>
      <c r="R18" s="49" t="s">
        <v>81</v>
      </c>
      <c r="S18" s="49" t="s">
        <v>1529</v>
      </c>
      <c r="T18" s="49" t="s">
        <v>196</v>
      </c>
      <c r="U18" s="211" t="s">
        <v>561</v>
      </c>
      <c r="V18" s="211" t="s">
        <v>1530</v>
      </c>
      <c r="W18" s="211" t="s">
        <v>556</v>
      </c>
      <c r="X18" s="211" t="s">
        <v>561</v>
      </c>
      <c r="Y18" s="48" t="s">
        <v>1524</v>
      </c>
      <c r="Z18" s="176">
        <v>46233</v>
      </c>
      <c r="AA18" s="211">
        <v>46231</v>
      </c>
      <c r="AB18" s="211" t="s">
        <v>1531</v>
      </c>
      <c r="AC18" s="176">
        <v>46247</v>
      </c>
      <c r="AD18" s="1284" t="s">
        <v>934</v>
      </c>
      <c r="AE18" s="3" t="s">
        <v>1515</v>
      </c>
    </row>
    <row r="19" s="3" customFormat="1" ht="54" customHeight="1" spans="1:31">
      <c r="A19" s="208">
        <f>ROW()-3</f>
        <v>16</v>
      </c>
      <c r="B19" s="48" t="s">
        <v>209</v>
      </c>
      <c r="C19" s="49" t="s">
        <v>909</v>
      </c>
      <c r="D19" s="50" t="s">
        <v>938</v>
      </c>
      <c r="E19" s="50" t="s">
        <v>939</v>
      </c>
      <c r="F19" s="52">
        <v>46154</v>
      </c>
      <c r="G19" s="52">
        <v>46233</v>
      </c>
      <c r="H19" s="52">
        <v>46233</v>
      </c>
      <c r="I19" s="53">
        <v>46177</v>
      </c>
      <c r="J19" s="175">
        <f>SUBTOTAL(9,L19:P19)</f>
        <v>7170</v>
      </c>
      <c r="K19" s="175">
        <v>15</v>
      </c>
      <c r="L19" s="175">
        <v>1434</v>
      </c>
      <c r="M19" s="175">
        <v>1434</v>
      </c>
      <c r="N19" s="175">
        <v>1434</v>
      </c>
      <c r="O19" s="175">
        <v>1434</v>
      </c>
      <c r="P19" s="175">
        <v>1434</v>
      </c>
      <c r="Q19" s="49" t="s">
        <v>1528</v>
      </c>
      <c r="R19" s="49" t="s">
        <v>81</v>
      </c>
      <c r="S19" s="49" t="s">
        <v>1529</v>
      </c>
      <c r="T19" s="49" t="s">
        <v>196</v>
      </c>
      <c r="U19" s="211" t="s">
        <v>561</v>
      </c>
      <c r="V19" s="211" t="s">
        <v>1530</v>
      </c>
      <c r="W19" s="211" t="s">
        <v>556</v>
      </c>
      <c r="X19" s="211" t="s">
        <v>561</v>
      </c>
      <c r="Y19" s="48" t="s">
        <v>1524</v>
      </c>
      <c r="Z19" s="176">
        <v>46233</v>
      </c>
      <c r="AA19" s="211">
        <v>46231</v>
      </c>
      <c r="AB19" s="317" t="s">
        <v>1532</v>
      </c>
      <c r="AC19" s="176" t="s">
        <v>1533</v>
      </c>
      <c r="AD19" s="1284" t="s">
        <v>943</v>
      </c>
      <c r="AE19" s="3" t="s">
        <v>1515</v>
      </c>
    </row>
    <row r="20" s="3" customFormat="1" ht="27" customHeight="1" spans="1:31">
      <c r="A20" s="208">
        <f>ROW()-3</f>
        <v>17</v>
      </c>
      <c r="B20" s="48" t="s">
        <v>209</v>
      </c>
      <c r="C20" s="49" t="s">
        <v>909</v>
      </c>
      <c r="D20" s="50" t="s">
        <v>944</v>
      </c>
      <c r="E20" s="48" t="s">
        <v>945</v>
      </c>
      <c r="F20" s="52">
        <v>46154</v>
      </c>
      <c r="G20" s="52">
        <v>46233</v>
      </c>
      <c r="H20" s="52">
        <v>46233</v>
      </c>
      <c r="I20" s="53">
        <v>46177</v>
      </c>
      <c r="J20" s="175">
        <f>SUBTOTAL(9,L20:P20)</f>
        <v>7170</v>
      </c>
      <c r="K20" s="175">
        <v>15</v>
      </c>
      <c r="L20" s="175">
        <v>1434</v>
      </c>
      <c r="M20" s="175">
        <v>1434</v>
      </c>
      <c r="N20" s="175">
        <v>1434</v>
      </c>
      <c r="O20" s="175">
        <v>1434</v>
      </c>
      <c r="P20" s="175">
        <v>1434</v>
      </c>
      <c r="Q20" s="49" t="s">
        <v>1528</v>
      </c>
      <c r="R20" s="49" t="s">
        <v>81</v>
      </c>
      <c r="S20" s="49" t="s">
        <v>1529</v>
      </c>
      <c r="T20" s="49" t="s">
        <v>196</v>
      </c>
      <c r="U20" s="211" t="s">
        <v>561</v>
      </c>
      <c r="V20" s="211" t="s">
        <v>1530</v>
      </c>
      <c r="W20" s="211" t="s">
        <v>556</v>
      </c>
      <c r="X20" s="211" t="s">
        <v>561</v>
      </c>
      <c r="Y20" s="48" t="s">
        <v>1524</v>
      </c>
      <c r="Z20" s="176">
        <v>46233</v>
      </c>
      <c r="AA20" s="211">
        <v>46231</v>
      </c>
      <c r="AB20" s="211" t="s">
        <v>1534</v>
      </c>
      <c r="AC20" s="176" t="s">
        <v>1533</v>
      </c>
      <c r="AD20" s="1284" t="s">
        <v>947</v>
      </c>
      <c r="AE20" s="3" t="s">
        <v>1515</v>
      </c>
    </row>
    <row r="21" s="3" customFormat="1" ht="27" hidden="1" customHeight="1" spans="1:31">
      <c r="A21" s="208">
        <f>ROW()-3</f>
        <v>18</v>
      </c>
      <c r="B21" s="48" t="s">
        <v>209</v>
      </c>
      <c r="C21" s="49" t="s">
        <v>909</v>
      </c>
      <c r="D21" s="50" t="s">
        <v>948</v>
      </c>
      <c r="E21" s="48" t="s">
        <v>949</v>
      </c>
      <c r="F21" s="52">
        <v>46154</v>
      </c>
      <c r="G21" s="52">
        <v>46233</v>
      </c>
      <c r="H21" s="52">
        <v>46233</v>
      </c>
      <c r="I21" s="53">
        <v>46177</v>
      </c>
      <c r="J21" s="175">
        <f>SUBTOTAL(9,L21:P21)</f>
        <v>0</v>
      </c>
      <c r="K21" s="175">
        <v>15</v>
      </c>
      <c r="L21" s="175">
        <v>1434</v>
      </c>
      <c r="M21" s="175">
        <v>1434</v>
      </c>
      <c r="N21" s="175">
        <v>1434</v>
      </c>
      <c r="O21" s="175">
        <v>1434</v>
      </c>
      <c r="P21" s="175">
        <v>1434</v>
      </c>
      <c r="Q21" s="49" t="s">
        <v>1528</v>
      </c>
      <c r="R21" s="49" t="s">
        <v>81</v>
      </c>
      <c r="S21" s="49" t="s">
        <v>1529</v>
      </c>
      <c r="T21" s="49" t="s">
        <v>196</v>
      </c>
      <c r="U21" s="211" t="s">
        <v>561</v>
      </c>
      <c r="V21" s="211" t="s">
        <v>1530</v>
      </c>
      <c r="W21" s="211" t="s">
        <v>556</v>
      </c>
      <c r="X21" s="211" t="s">
        <v>561</v>
      </c>
      <c r="Y21" s="48" t="s">
        <v>1524</v>
      </c>
      <c r="Z21" s="176">
        <v>46233</v>
      </c>
      <c r="AA21" s="211">
        <v>46231</v>
      </c>
      <c r="AB21" s="176"/>
      <c r="AC21" s="176">
        <v>46246</v>
      </c>
      <c r="AD21" s="1284" t="s">
        <v>950</v>
      </c>
      <c r="AE21" s="3" t="s">
        <v>1515</v>
      </c>
    </row>
    <row r="22" s="3" customFormat="1" ht="27" customHeight="1" spans="1:31">
      <c r="A22" s="208">
        <f>ROW()-3</f>
        <v>19</v>
      </c>
      <c r="B22" s="48" t="s">
        <v>209</v>
      </c>
      <c r="C22" s="49" t="s">
        <v>909</v>
      </c>
      <c r="D22" s="50" t="s">
        <v>1419</v>
      </c>
      <c r="E22" s="50" t="s">
        <v>1420</v>
      </c>
      <c r="F22" s="52">
        <v>46154</v>
      </c>
      <c r="G22" s="52">
        <v>46239</v>
      </c>
      <c r="H22" s="52">
        <v>46239</v>
      </c>
      <c r="I22" s="53">
        <v>46177</v>
      </c>
      <c r="J22" s="175">
        <f>SUBTOTAL(9,L22:P22)</f>
        <v>7170</v>
      </c>
      <c r="K22" s="175">
        <v>15</v>
      </c>
      <c r="L22" s="175">
        <v>1434</v>
      </c>
      <c r="M22" s="175">
        <v>1434</v>
      </c>
      <c r="N22" s="175">
        <v>1434</v>
      </c>
      <c r="O22" s="175">
        <v>1434</v>
      </c>
      <c r="P22" s="175">
        <v>1434</v>
      </c>
      <c r="Q22" s="49" t="s">
        <v>1528</v>
      </c>
      <c r="R22" s="49" t="s">
        <v>81</v>
      </c>
      <c r="S22" s="49" t="s">
        <v>1529</v>
      </c>
      <c r="T22" s="49" t="s">
        <v>196</v>
      </c>
      <c r="U22" s="211" t="s">
        <v>561</v>
      </c>
      <c r="V22" s="211" t="s">
        <v>1530</v>
      </c>
      <c r="W22" s="211" t="s">
        <v>556</v>
      </c>
      <c r="X22" s="211" t="s">
        <v>561</v>
      </c>
      <c r="Y22" s="48" t="s">
        <v>1524</v>
      </c>
      <c r="Z22" s="176">
        <v>46239</v>
      </c>
      <c r="AA22" s="211">
        <v>46245</v>
      </c>
      <c r="AB22" s="176"/>
      <c r="AC22" s="176" t="s">
        <v>1533</v>
      </c>
      <c r="AD22" s="1284" t="s">
        <v>1422</v>
      </c>
      <c r="AE22" s="3" t="s">
        <v>1515</v>
      </c>
    </row>
    <row r="23" s="3" customFormat="1" ht="27" customHeight="1" spans="1:31">
      <c r="A23" s="208">
        <f t="shared" ref="A23:A33" si="6">ROW()-3</f>
        <v>20</v>
      </c>
      <c r="B23" s="48" t="s">
        <v>209</v>
      </c>
      <c r="C23" s="49" t="s">
        <v>909</v>
      </c>
      <c r="D23" s="50" t="s">
        <v>1429</v>
      </c>
      <c r="E23" s="50" t="s">
        <v>1430</v>
      </c>
      <c r="F23" s="52">
        <v>46154</v>
      </c>
      <c r="G23" s="52">
        <v>46240</v>
      </c>
      <c r="H23" s="52">
        <v>46240</v>
      </c>
      <c r="I23" s="53">
        <v>46177</v>
      </c>
      <c r="J23" s="175">
        <f t="shared" ref="J23:J30" si="7">SUBTOTAL(9,L23:P23)</f>
        <v>7170</v>
      </c>
      <c r="K23" s="175">
        <v>15</v>
      </c>
      <c r="L23" s="175">
        <v>1434</v>
      </c>
      <c r="M23" s="175">
        <v>1434</v>
      </c>
      <c r="N23" s="175">
        <v>1434</v>
      </c>
      <c r="O23" s="175">
        <v>1434</v>
      </c>
      <c r="P23" s="175">
        <v>1434</v>
      </c>
      <c r="Q23" s="49" t="s">
        <v>1528</v>
      </c>
      <c r="R23" s="49" t="s">
        <v>81</v>
      </c>
      <c r="S23" s="49" t="s">
        <v>581</v>
      </c>
      <c r="T23" s="49" t="s">
        <v>196</v>
      </c>
      <c r="U23" s="211" t="s">
        <v>1530</v>
      </c>
      <c r="V23" s="211" t="s">
        <v>1530</v>
      </c>
      <c r="W23" s="211" t="s">
        <v>556</v>
      </c>
      <c r="X23" s="48" t="s">
        <v>603</v>
      </c>
      <c r="Y23" s="48" t="s">
        <v>1524</v>
      </c>
      <c r="Z23" s="176">
        <v>46240</v>
      </c>
      <c r="AA23" s="211">
        <v>46245</v>
      </c>
      <c r="AB23" s="176"/>
      <c r="AC23" s="176" t="s">
        <v>1533</v>
      </c>
      <c r="AD23" s="1284" t="s">
        <v>1431</v>
      </c>
      <c r="AE23" s="3" t="s">
        <v>1515</v>
      </c>
    </row>
    <row r="24" s="3" customFormat="1" ht="27" customHeight="1" spans="1:31">
      <c r="A24" s="208">
        <f t="shared" si="6"/>
        <v>21</v>
      </c>
      <c r="B24" s="48" t="s">
        <v>209</v>
      </c>
      <c r="C24" s="49" t="s">
        <v>909</v>
      </c>
      <c r="D24" s="50" t="s">
        <v>1432</v>
      </c>
      <c r="E24" s="971" t="s">
        <v>1433</v>
      </c>
      <c r="F24" s="52">
        <v>46154</v>
      </c>
      <c r="G24" s="52">
        <v>46240</v>
      </c>
      <c r="H24" s="52">
        <v>46240</v>
      </c>
      <c r="I24" s="53">
        <v>46177</v>
      </c>
      <c r="J24" s="175">
        <f t="shared" si="7"/>
        <v>7170</v>
      </c>
      <c r="K24" s="175">
        <v>15</v>
      </c>
      <c r="L24" s="175">
        <v>1434</v>
      </c>
      <c r="M24" s="175">
        <v>1434</v>
      </c>
      <c r="N24" s="175">
        <v>1434</v>
      </c>
      <c r="O24" s="175">
        <v>1434</v>
      </c>
      <c r="P24" s="175">
        <v>1434</v>
      </c>
      <c r="Q24" s="49" t="s">
        <v>1528</v>
      </c>
      <c r="R24" s="49" t="s">
        <v>81</v>
      </c>
      <c r="S24" s="49" t="s">
        <v>581</v>
      </c>
      <c r="T24" s="49" t="s">
        <v>196</v>
      </c>
      <c r="U24" s="211" t="s">
        <v>1530</v>
      </c>
      <c r="V24" s="211" t="s">
        <v>1530</v>
      </c>
      <c r="W24" s="211" t="s">
        <v>556</v>
      </c>
      <c r="X24" s="48" t="s">
        <v>603</v>
      </c>
      <c r="Y24" s="48" t="s">
        <v>1524</v>
      </c>
      <c r="Z24" s="176">
        <v>46240</v>
      </c>
      <c r="AA24" s="211">
        <v>46245</v>
      </c>
      <c r="AB24" s="176"/>
      <c r="AC24" s="176" t="s">
        <v>1533</v>
      </c>
      <c r="AD24" s="1284" t="s">
        <v>1434</v>
      </c>
      <c r="AE24" s="3" t="s">
        <v>1515</v>
      </c>
    </row>
    <row r="25" s="3" customFormat="1" ht="27" customHeight="1" spans="1:31">
      <c r="A25" s="208">
        <f t="shared" si="6"/>
        <v>22</v>
      </c>
      <c r="B25" s="48" t="s">
        <v>209</v>
      </c>
      <c r="C25" s="49" t="s">
        <v>909</v>
      </c>
      <c r="D25" s="50" t="s">
        <v>951</v>
      </c>
      <c r="E25" s="48" t="s">
        <v>952</v>
      </c>
      <c r="F25" s="52">
        <v>46154</v>
      </c>
      <c r="G25" s="52">
        <v>46240</v>
      </c>
      <c r="H25" s="52">
        <v>46240</v>
      </c>
      <c r="I25" s="53">
        <v>46177</v>
      </c>
      <c r="J25" s="175">
        <f t="shared" si="7"/>
        <v>7170</v>
      </c>
      <c r="K25" s="175">
        <v>15</v>
      </c>
      <c r="L25" s="175">
        <v>1434</v>
      </c>
      <c r="M25" s="175">
        <v>1434</v>
      </c>
      <c r="N25" s="175">
        <v>1434</v>
      </c>
      <c r="O25" s="175">
        <v>1434</v>
      </c>
      <c r="P25" s="175">
        <v>1434</v>
      </c>
      <c r="Q25" s="49" t="s">
        <v>1528</v>
      </c>
      <c r="R25" s="49" t="s">
        <v>81</v>
      </c>
      <c r="S25" s="49" t="s">
        <v>581</v>
      </c>
      <c r="T25" s="49" t="s">
        <v>196</v>
      </c>
      <c r="U25" s="211" t="s">
        <v>1530</v>
      </c>
      <c r="V25" s="211" t="s">
        <v>1530</v>
      </c>
      <c r="W25" s="211" t="s">
        <v>556</v>
      </c>
      <c r="X25" s="48" t="s">
        <v>603</v>
      </c>
      <c r="Y25" s="48" t="s">
        <v>1524</v>
      </c>
      <c r="Z25" s="176">
        <v>46240</v>
      </c>
      <c r="AA25" s="211">
        <v>46245</v>
      </c>
      <c r="AB25" s="176"/>
      <c r="AC25" s="176" t="s">
        <v>1533</v>
      </c>
      <c r="AD25" s="1284" t="s">
        <v>953</v>
      </c>
      <c r="AE25" s="3" t="s">
        <v>1515</v>
      </c>
    </row>
    <row r="26" s="3" customFormat="1" ht="27" customHeight="1" spans="1:31">
      <c r="A26" s="208">
        <f t="shared" si="6"/>
        <v>23</v>
      </c>
      <c r="B26" s="48" t="s">
        <v>209</v>
      </c>
      <c r="C26" s="49" t="s">
        <v>909</v>
      </c>
      <c r="D26" s="50" t="s">
        <v>954</v>
      </c>
      <c r="E26" s="48" t="s">
        <v>955</v>
      </c>
      <c r="F26" s="52">
        <v>46154</v>
      </c>
      <c r="G26" s="52">
        <v>46247</v>
      </c>
      <c r="H26" s="52">
        <v>46247</v>
      </c>
      <c r="I26" s="53">
        <v>46177</v>
      </c>
      <c r="J26" s="175">
        <f t="shared" si="7"/>
        <v>7170</v>
      </c>
      <c r="K26" s="175">
        <v>15</v>
      </c>
      <c r="L26" s="175">
        <v>1434</v>
      </c>
      <c r="M26" s="175">
        <v>1434</v>
      </c>
      <c r="N26" s="175">
        <v>1434</v>
      </c>
      <c r="O26" s="175">
        <v>1434</v>
      </c>
      <c r="P26" s="175">
        <v>1434</v>
      </c>
      <c r="Q26" s="49" t="s">
        <v>1528</v>
      </c>
      <c r="R26" s="49" t="s">
        <v>81</v>
      </c>
      <c r="S26" s="49" t="s">
        <v>581</v>
      </c>
      <c r="T26" s="49" t="s">
        <v>196</v>
      </c>
      <c r="U26" s="211" t="s">
        <v>603</v>
      </c>
      <c r="V26" s="211" t="s">
        <v>603</v>
      </c>
      <c r="W26" s="211" t="s">
        <v>556</v>
      </c>
      <c r="X26" s="48" t="s">
        <v>603</v>
      </c>
      <c r="Y26" s="48" t="s">
        <v>1524</v>
      </c>
      <c r="Z26" s="176">
        <v>46247</v>
      </c>
      <c r="AA26" s="211">
        <v>46251</v>
      </c>
      <c r="AB26" s="176"/>
      <c r="AC26" s="176" t="s">
        <v>1533</v>
      </c>
      <c r="AD26" s="1284" t="s">
        <v>956</v>
      </c>
      <c r="AE26" s="3" t="s">
        <v>1515</v>
      </c>
    </row>
    <row r="27" s="3" customFormat="1" ht="27" customHeight="1" spans="1:31">
      <c r="A27" s="208">
        <f t="shared" si="6"/>
        <v>24</v>
      </c>
      <c r="B27" s="48" t="s">
        <v>209</v>
      </c>
      <c r="C27" s="49" t="s">
        <v>909</v>
      </c>
      <c r="D27" s="50" t="s">
        <v>957</v>
      </c>
      <c r="E27" s="48" t="s">
        <v>958</v>
      </c>
      <c r="F27" s="52">
        <v>46154</v>
      </c>
      <c r="G27" s="52">
        <v>46247</v>
      </c>
      <c r="H27" s="52">
        <v>46247</v>
      </c>
      <c r="I27" s="53">
        <v>46177</v>
      </c>
      <c r="J27" s="175">
        <f t="shared" si="7"/>
        <v>7170</v>
      </c>
      <c r="K27" s="175">
        <v>15</v>
      </c>
      <c r="L27" s="175">
        <v>1434</v>
      </c>
      <c r="M27" s="175">
        <v>1434</v>
      </c>
      <c r="N27" s="175">
        <v>1434</v>
      </c>
      <c r="O27" s="175">
        <v>1434</v>
      </c>
      <c r="P27" s="175">
        <v>1434</v>
      </c>
      <c r="Q27" s="49" t="s">
        <v>1528</v>
      </c>
      <c r="R27" s="49" t="s">
        <v>81</v>
      </c>
      <c r="S27" s="49" t="s">
        <v>581</v>
      </c>
      <c r="T27" s="49" t="s">
        <v>196</v>
      </c>
      <c r="U27" s="211" t="s">
        <v>603</v>
      </c>
      <c r="V27" s="211" t="s">
        <v>603</v>
      </c>
      <c r="W27" s="211" t="s">
        <v>556</v>
      </c>
      <c r="X27" s="48" t="s">
        <v>603</v>
      </c>
      <c r="Y27" s="48" t="s">
        <v>1524</v>
      </c>
      <c r="Z27" s="176">
        <v>46247</v>
      </c>
      <c r="AA27" s="211">
        <v>46251</v>
      </c>
      <c r="AB27" s="176"/>
      <c r="AC27" s="176" t="s">
        <v>1533</v>
      </c>
      <c r="AD27" s="1284" t="s">
        <v>959</v>
      </c>
      <c r="AE27" s="3" t="s">
        <v>1515</v>
      </c>
    </row>
    <row r="28" s="3" customFormat="1" ht="27" customHeight="1" spans="1:31">
      <c r="A28" s="208">
        <f t="shared" si="6"/>
        <v>25</v>
      </c>
      <c r="B28" s="48" t="s">
        <v>209</v>
      </c>
      <c r="C28" s="49" t="s">
        <v>909</v>
      </c>
      <c r="D28" s="50" t="s">
        <v>960</v>
      </c>
      <c r="E28" s="48" t="s">
        <v>961</v>
      </c>
      <c r="F28" s="52">
        <v>46154</v>
      </c>
      <c r="G28" s="52">
        <v>46247</v>
      </c>
      <c r="H28" s="52">
        <v>46247</v>
      </c>
      <c r="I28" s="53">
        <v>46177</v>
      </c>
      <c r="J28" s="175">
        <f t="shared" si="7"/>
        <v>7170</v>
      </c>
      <c r="K28" s="175">
        <v>15</v>
      </c>
      <c r="L28" s="175">
        <v>1434</v>
      </c>
      <c r="M28" s="175">
        <v>1434</v>
      </c>
      <c r="N28" s="175">
        <v>1434</v>
      </c>
      <c r="O28" s="175">
        <v>1434</v>
      </c>
      <c r="P28" s="175">
        <v>1434</v>
      </c>
      <c r="Q28" s="49" t="s">
        <v>1528</v>
      </c>
      <c r="R28" s="49" t="s">
        <v>81</v>
      </c>
      <c r="S28" s="49" t="s">
        <v>581</v>
      </c>
      <c r="T28" s="49" t="s">
        <v>196</v>
      </c>
      <c r="U28" s="211" t="s">
        <v>603</v>
      </c>
      <c r="V28" s="211" t="s">
        <v>603</v>
      </c>
      <c r="W28" s="211" t="s">
        <v>556</v>
      </c>
      <c r="X28" s="48" t="s">
        <v>603</v>
      </c>
      <c r="Y28" s="48" t="s">
        <v>1524</v>
      </c>
      <c r="Z28" s="176">
        <v>46247</v>
      </c>
      <c r="AA28" s="211">
        <v>46251</v>
      </c>
      <c r="AB28" s="176"/>
      <c r="AC28" s="176" t="s">
        <v>1533</v>
      </c>
      <c r="AD28" s="1284" t="s">
        <v>962</v>
      </c>
      <c r="AE28" s="3" t="s">
        <v>1515</v>
      </c>
    </row>
    <row r="29" s="3" customFormat="1" ht="27" customHeight="1" spans="1:31">
      <c r="A29" s="215">
        <f t="shared" si="6"/>
        <v>26</v>
      </c>
      <c r="B29" s="183" t="s">
        <v>209</v>
      </c>
      <c r="C29" s="96" t="s">
        <v>909</v>
      </c>
      <c r="D29" s="216" t="s">
        <v>984</v>
      </c>
      <c r="E29" s="183" t="s">
        <v>985</v>
      </c>
      <c r="F29" s="217">
        <v>46170</v>
      </c>
      <c r="G29" s="217">
        <v>46266</v>
      </c>
      <c r="H29" s="217">
        <v>46266</v>
      </c>
      <c r="I29" s="218">
        <v>46196</v>
      </c>
      <c r="J29" s="95">
        <f t="shared" si="7"/>
        <v>7170</v>
      </c>
      <c r="K29" s="95">
        <v>15</v>
      </c>
      <c r="L29" s="277">
        <v>1434</v>
      </c>
      <c r="M29" s="277">
        <v>1434</v>
      </c>
      <c r="N29" s="277">
        <v>1434</v>
      </c>
      <c r="O29" s="277">
        <v>1434</v>
      </c>
      <c r="P29" s="277">
        <v>1434</v>
      </c>
      <c r="Q29" s="962" t="s">
        <v>1535</v>
      </c>
      <c r="R29" s="962" t="s">
        <v>81</v>
      </c>
      <c r="S29" s="962" t="s">
        <v>581</v>
      </c>
      <c r="T29" s="96" t="s">
        <v>196</v>
      </c>
      <c r="U29" s="279" t="s">
        <v>603</v>
      </c>
      <c r="V29" s="279" t="s">
        <v>603</v>
      </c>
      <c r="W29" s="279" t="s">
        <v>615</v>
      </c>
      <c r="X29" s="183" t="s">
        <v>616</v>
      </c>
      <c r="Y29" s="183" t="s">
        <v>1524</v>
      </c>
      <c r="Z29" s="97">
        <v>46266</v>
      </c>
      <c r="AA29" s="222"/>
      <c r="AB29" s="97"/>
      <c r="AC29" s="97" t="s">
        <v>1533</v>
      </c>
      <c r="AD29" s="224" t="s">
        <v>1536</v>
      </c>
      <c r="AE29" s="3" t="s">
        <v>1515</v>
      </c>
    </row>
    <row r="30" s="3" customFormat="1" ht="30.95" customHeight="1" spans="1:31">
      <c r="A30" s="215">
        <f t="shared" si="6"/>
        <v>27</v>
      </c>
      <c r="B30" s="183" t="s">
        <v>209</v>
      </c>
      <c r="C30" s="96" t="s">
        <v>909</v>
      </c>
      <c r="D30" s="216" t="s">
        <v>1537</v>
      </c>
      <c r="E30" s="183" t="s">
        <v>1538</v>
      </c>
      <c r="F30" s="217">
        <v>46170</v>
      </c>
      <c r="G30" s="217">
        <v>46280</v>
      </c>
      <c r="H30" s="217">
        <v>46280</v>
      </c>
      <c r="I30" s="218">
        <v>46196</v>
      </c>
      <c r="J30" s="95">
        <f t="shared" si="7"/>
        <v>7170</v>
      </c>
      <c r="K30" s="95">
        <v>15</v>
      </c>
      <c r="L30" s="277">
        <v>1434</v>
      </c>
      <c r="M30" s="277">
        <v>1434</v>
      </c>
      <c r="N30" s="277">
        <v>1434</v>
      </c>
      <c r="O30" s="277">
        <v>1434</v>
      </c>
      <c r="P30" s="277">
        <v>1434</v>
      </c>
      <c r="Q30" s="962" t="s">
        <v>1535</v>
      </c>
      <c r="R30" s="962" t="s">
        <v>81</v>
      </c>
      <c r="S30" s="962" t="s">
        <v>581</v>
      </c>
      <c r="T30" s="96" t="s">
        <v>196</v>
      </c>
      <c r="U30" s="279" t="s">
        <v>603</v>
      </c>
      <c r="V30" s="279" t="s">
        <v>603</v>
      </c>
      <c r="W30" s="279" t="s">
        <v>615</v>
      </c>
      <c r="X30" s="183" t="s">
        <v>616</v>
      </c>
      <c r="Y30" s="183" t="s">
        <v>1524</v>
      </c>
      <c r="Z30" s="97">
        <v>46280</v>
      </c>
      <c r="AA30" s="222"/>
      <c r="AB30" s="97"/>
      <c r="AC30" s="97" t="s">
        <v>1533</v>
      </c>
      <c r="AD30" s="224" t="s">
        <v>1539</v>
      </c>
      <c r="AE30" s="3" t="s">
        <v>1515</v>
      </c>
    </row>
    <row r="31" s="3" customFormat="1" ht="35.1" customHeight="1" spans="1:31">
      <c r="A31" s="215">
        <f t="shared" si="6"/>
        <v>28</v>
      </c>
      <c r="B31" s="972" t="s">
        <v>1342</v>
      </c>
      <c r="C31" s="972" t="s">
        <v>114</v>
      </c>
      <c r="D31" s="832" t="s">
        <v>1540</v>
      </c>
      <c r="E31" s="183" t="s">
        <v>1344</v>
      </c>
      <c r="F31" s="973">
        <v>46191</v>
      </c>
      <c r="G31" s="973">
        <v>46283</v>
      </c>
      <c r="H31" s="973">
        <v>46283</v>
      </c>
      <c r="I31" s="973">
        <v>46213</v>
      </c>
      <c r="J31" s="972">
        <v>1500</v>
      </c>
      <c r="K31" s="95">
        <v>15</v>
      </c>
      <c r="L31" s="277">
        <v>300</v>
      </c>
      <c r="M31" s="277">
        <v>300</v>
      </c>
      <c r="N31" s="277">
        <v>300</v>
      </c>
      <c r="O31" s="277">
        <v>300</v>
      </c>
      <c r="P31" s="277">
        <v>300</v>
      </c>
      <c r="Q31" s="974" t="s">
        <v>1541</v>
      </c>
      <c r="R31" s="962" t="s">
        <v>81</v>
      </c>
      <c r="S31" s="962" t="s">
        <v>581</v>
      </c>
      <c r="T31" s="96" t="s">
        <v>196</v>
      </c>
      <c r="U31" s="279" t="s">
        <v>603</v>
      </c>
      <c r="V31" s="279" t="s">
        <v>603</v>
      </c>
      <c r="W31" s="279" t="s">
        <v>1542</v>
      </c>
      <c r="X31" s="183" t="s">
        <v>629</v>
      </c>
      <c r="Y31" s="183" t="s">
        <v>1543</v>
      </c>
      <c r="Z31" s="97">
        <v>46283</v>
      </c>
      <c r="AA31" s="222"/>
      <c r="AB31" s="97"/>
      <c r="AC31" s="97"/>
      <c r="AD31" s="224" t="s">
        <v>1346</v>
      </c>
      <c r="AE31" s="3" t="s">
        <v>1515</v>
      </c>
    </row>
    <row r="32" s="3" customFormat="1" ht="33.95" customHeight="1" spans="1:31">
      <c r="A32" s="268">
        <f t="shared" si="6"/>
        <v>29</v>
      </c>
      <c r="B32" s="91" t="s">
        <v>1076</v>
      </c>
      <c r="C32" s="975" t="s">
        <v>114</v>
      </c>
      <c r="D32" s="271" t="s">
        <v>1544</v>
      </c>
      <c r="E32" s="269"/>
      <c r="F32" s="976">
        <v>46241</v>
      </c>
      <c r="G32" s="976">
        <v>46371</v>
      </c>
      <c r="H32" s="976"/>
      <c r="I32" s="976"/>
      <c r="J32" s="975">
        <v>1500</v>
      </c>
      <c r="K32" s="276">
        <v>15</v>
      </c>
      <c r="L32" s="277">
        <v>222</v>
      </c>
      <c r="M32" s="277">
        <v>222</v>
      </c>
      <c r="N32" s="277">
        <v>222</v>
      </c>
      <c r="O32" s="277">
        <v>222</v>
      </c>
      <c r="P32" s="277">
        <v>222</v>
      </c>
      <c r="Q32" s="962"/>
      <c r="R32" s="962" t="s">
        <v>81</v>
      </c>
      <c r="S32" s="962"/>
      <c r="T32" s="96" t="s">
        <v>196</v>
      </c>
      <c r="U32" s="279"/>
      <c r="V32" s="279"/>
      <c r="W32" s="279"/>
      <c r="X32" s="183"/>
      <c r="Y32" s="183" t="s">
        <v>1526</v>
      </c>
      <c r="Z32" s="97"/>
      <c r="AA32" s="222"/>
      <c r="AB32" s="97"/>
      <c r="AC32" s="97"/>
      <c r="AD32" s="224"/>
      <c r="AE32" s="3" t="s">
        <v>1515</v>
      </c>
    </row>
    <row r="33" s="3" customFormat="1" ht="33.95" customHeight="1" spans="1:30">
      <c r="A33" s="215"/>
      <c r="B33" s="60"/>
      <c r="C33" s="972"/>
      <c r="D33" s="216"/>
      <c r="E33" s="183"/>
      <c r="F33" s="973"/>
      <c r="G33" s="973"/>
      <c r="H33" s="973"/>
      <c r="I33" s="973"/>
      <c r="J33" s="972"/>
      <c r="K33" s="95"/>
      <c r="L33" s="277"/>
      <c r="M33" s="277"/>
      <c r="N33" s="277"/>
      <c r="O33" s="277"/>
      <c r="P33" s="277"/>
      <c r="Q33" s="962"/>
      <c r="R33" s="962"/>
      <c r="S33" s="962"/>
      <c r="T33" s="96"/>
      <c r="U33" s="279"/>
      <c r="V33" s="279"/>
      <c r="W33" s="279"/>
      <c r="X33" s="183"/>
      <c r="Y33" s="183"/>
      <c r="Z33" s="97"/>
      <c r="AA33" s="222"/>
      <c r="AB33" s="97"/>
      <c r="AC33" s="97"/>
      <c r="AD33" s="224"/>
    </row>
    <row r="34" s="3" customFormat="1" ht="33.95" customHeight="1" spans="1:30">
      <c r="A34" s="215"/>
      <c r="B34" s="60"/>
      <c r="C34" s="972"/>
      <c r="D34" s="216"/>
      <c r="E34" s="183"/>
      <c r="F34" s="973"/>
      <c r="G34" s="973"/>
      <c r="H34" s="973"/>
      <c r="I34" s="973"/>
      <c r="J34" s="972"/>
      <c r="K34" s="95"/>
      <c r="L34" s="277"/>
      <c r="M34" s="277"/>
      <c r="N34" s="277"/>
      <c r="O34" s="277"/>
      <c r="P34" s="277"/>
      <c r="Q34" s="962"/>
      <c r="R34" s="962"/>
      <c r="S34" s="962"/>
      <c r="T34" s="96"/>
      <c r="U34" s="279"/>
      <c r="V34" s="279"/>
      <c r="W34" s="279"/>
      <c r="X34" s="183"/>
      <c r="Y34" s="183"/>
      <c r="Z34" s="97"/>
      <c r="AA34" s="222"/>
      <c r="AB34" s="97"/>
      <c r="AC34" s="97"/>
      <c r="AD34" s="224"/>
    </row>
    <row r="35" s="3" customFormat="1" ht="21.75" customHeight="1" spans="1:30">
      <c r="A35" s="215"/>
      <c r="B35" s="977"/>
      <c r="C35" s="977"/>
      <c r="D35" s="977"/>
      <c r="E35" s="977"/>
      <c r="F35" s="977"/>
      <c r="G35" s="977"/>
      <c r="H35" s="977"/>
      <c r="I35" s="977"/>
      <c r="J35" s="95">
        <f>SUM(J4:J16)</f>
        <v>190860</v>
      </c>
      <c r="K35" s="95"/>
      <c r="L35" s="95">
        <f>SUM(L4:L32)</f>
        <v>57356</v>
      </c>
      <c r="M35" s="95">
        <f>SUM(M4:M32)</f>
        <v>57356</v>
      </c>
      <c r="N35" s="95">
        <f>SUM(N4:N32)</f>
        <v>57356</v>
      </c>
      <c r="O35" s="95">
        <f>SUM(O4:O32)</f>
        <v>57356</v>
      </c>
      <c r="P35" s="95">
        <f>SUM(P4:P32)</f>
        <v>57356</v>
      </c>
      <c r="Q35" s="183"/>
      <c r="R35" s="183"/>
      <c r="S35" s="96"/>
      <c r="T35" s="96"/>
      <c r="U35" s="96"/>
      <c r="V35" s="96"/>
      <c r="W35" s="96"/>
      <c r="X35" s="96"/>
      <c r="Y35" s="96"/>
      <c r="Z35" s="97"/>
      <c r="AA35" s="97"/>
      <c r="AB35" s="97"/>
      <c r="AC35" s="97"/>
      <c r="AD35" s="239"/>
    </row>
    <row r="36" s="4" customFormat="1" ht="17.1" customHeight="1" spans="1:30">
      <c r="A36" s="215"/>
      <c r="B36" s="978"/>
      <c r="C36" s="978"/>
      <c r="D36" s="978"/>
      <c r="E36" s="978"/>
      <c r="F36" s="978"/>
      <c r="G36" s="978"/>
      <c r="H36" s="978"/>
      <c r="I36" s="978"/>
      <c r="J36" s="100"/>
      <c r="K36" s="100"/>
      <c r="L36" s="100">
        <f t="shared" ref="L36:P36" si="8">20599+9353+6186+1434+620+15774+2868+300</f>
        <v>57134</v>
      </c>
      <c r="M36" s="100">
        <f t="shared" si="8"/>
        <v>57134</v>
      </c>
      <c r="N36" s="100">
        <f t="shared" si="8"/>
        <v>57134</v>
      </c>
      <c r="O36" s="100">
        <f t="shared" si="8"/>
        <v>57134</v>
      </c>
      <c r="P36" s="100">
        <f t="shared" si="8"/>
        <v>57134</v>
      </c>
      <c r="Q36" s="963"/>
      <c r="R36" s="963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240"/>
    </row>
    <row r="37" s="4" customFormat="1" ht="17.1" customHeight="1" spans="1:30">
      <c r="A37" s="979"/>
      <c r="B37" s="245"/>
      <c r="C37" s="245"/>
      <c r="D37" s="245"/>
      <c r="E37" s="245"/>
      <c r="F37" s="245"/>
      <c r="G37" s="245"/>
      <c r="H37" s="245"/>
      <c r="I37" s="245"/>
      <c r="J37" s="244">
        <f>SUM(L37:P37)</f>
        <v>-1110</v>
      </c>
      <c r="K37" s="245"/>
      <c r="L37" s="106">
        <f>L36-L35</f>
        <v>-222</v>
      </c>
      <c r="M37" s="106">
        <f>M36-M35</f>
        <v>-222</v>
      </c>
      <c r="N37" s="106">
        <f>N36-N35</f>
        <v>-222</v>
      </c>
      <c r="O37" s="106">
        <f>O36-O35</f>
        <v>-222</v>
      </c>
      <c r="P37" s="106">
        <f>P36-P35</f>
        <v>-222</v>
      </c>
      <c r="Q37" s="839"/>
      <c r="R37" s="839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246"/>
    </row>
    <row r="38" spans="1:30">
      <c r="B38" s="110" t="s">
        <v>68</v>
      </c>
      <c r="C38" s="110"/>
      <c r="D38" s="111"/>
      <c r="E38" s="111"/>
      <c r="F38" s="111"/>
      <c r="G38" s="111"/>
      <c r="H38" s="111"/>
      <c r="I38" s="111"/>
    </row>
  </sheetData>
  <autoFilter xmlns:etc="http://www.wps.cn/officeDocument/2017/etCustomData" ref="A3:AE38" etc:filterBottomFollowUsedRange="0">
    <filterColumn colId="28">
      <filters blank="1"/>
    </filterColumn>
    <extLst/>
  </autoFilter>
  <mergeCells count="27">
    <mergeCell ref="A1:Y1"/>
    <mergeCell ref="Z1:AB1"/>
    <mergeCell ref="AC1:AD1"/>
    <mergeCell ref="L2:P2"/>
    <mergeCell ref="Q2:S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37:P37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15625" header="0.313888888888889" footer="0.313888888888889"/>
  <pageSetup paperSize="9" scale="78" orientation="landscape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AB15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V17" sqref="V17"/>
    </sheetView>
  </sheetViews>
  <sheetFormatPr defaultColWidth="9" defaultRowHeight="14.25"/>
  <cols>
    <col min="1" max="1" width="3.875" customWidth="1"/>
    <col min="2" max="2" width="11.375" customWidth="1"/>
    <col min="3" max="3" width="7.125" customWidth="1"/>
    <col min="4" max="5" width="13.625" customWidth="1"/>
    <col min="6" max="7" width="6.125" customWidth="1"/>
    <col min="8" max="9" width="5" customWidth="1"/>
    <col min="10" max="10" width="7.125" customWidth="1"/>
    <col min="11" max="11" width="5.125" customWidth="1"/>
    <col min="12" max="14" width="6.625" customWidth="1"/>
    <col min="15" max="16" width="5.125" style="288" customWidth="1"/>
    <col min="17" max="17" width="8.125" customWidth="1"/>
    <col min="18" max="18" width="5.375" customWidth="1"/>
    <col min="19" max="19" width="8" customWidth="1"/>
    <col min="20" max="20" width="7.5" customWidth="1"/>
    <col min="21" max="21" width="6.875" customWidth="1"/>
    <col min="22" max="22" width="23" customWidth="1"/>
    <col min="23" max="23" width="8" customWidth="1"/>
    <col min="24" max="24" width="8.375" style="193" customWidth="1"/>
    <col min="25" max="25" width="6.375" style="193" customWidth="1"/>
    <col min="26" max="26" width="6.625" style="193" customWidth="1"/>
    <col min="27" max="27" width="14.375" customWidth="1"/>
    <col min="28" max="28" width="17.625" customWidth="1"/>
  </cols>
  <sheetData>
    <row r="1" ht="35.1" customHeight="1" spans="1:28">
      <c r="A1" s="256" t="s">
        <v>235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935" t="s">
        <v>1</v>
      </c>
      <c r="Y1" s="935"/>
      <c r="Z1" s="200">
        <f ca="1">TODAY()</f>
        <v>46277</v>
      </c>
      <c r="AA1" s="201"/>
    </row>
    <row r="2" s="446" customFormat="1" ht="21.95" customHeight="1" spans="1:28">
      <c r="A2" s="14" t="s">
        <v>2</v>
      </c>
      <c r="B2" s="470" t="s">
        <v>3</v>
      </c>
      <c r="C2" s="470" t="s">
        <v>4</v>
      </c>
      <c r="D2" s="470" t="s">
        <v>5</v>
      </c>
      <c r="E2" s="93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937" t="s">
        <v>13</v>
      </c>
      <c r="M2" s="938"/>
      <c r="N2" s="939"/>
      <c r="O2" s="472" t="s">
        <v>180</v>
      </c>
      <c r="P2" s="472"/>
      <c r="Q2" s="472"/>
      <c r="R2" s="21" t="s">
        <v>177</v>
      </c>
      <c r="S2" s="474" t="s">
        <v>71</v>
      </c>
      <c r="T2" s="22" t="s">
        <v>236</v>
      </c>
      <c r="U2" s="474" t="s">
        <v>19</v>
      </c>
      <c r="V2" s="475" t="s">
        <v>21</v>
      </c>
      <c r="W2" s="19" t="s">
        <v>22</v>
      </c>
      <c r="X2" s="204" t="s">
        <v>23</v>
      </c>
      <c r="Y2" s="204" t="s">
        <v>24</v>
      </c>
      <c r="Z2" s="204" t="s">
        <v>25</v>
      </c>
      <c r="AA2" s="940" t="s">
        <v>26</v>
      </c>
    </row>
    <row r="3" s="446" customFormat="1" ht="28.5" customHeight="1" spans="1:28">
      <c r="A3" s="14"/>
      <c r="B3" s="470"/>
      <c r="C3" s="470"/>
      <c r="D3" s="470"/>
      <c r="E3" s="941"/>
      <c r="F3" s="15"/>
      <c r="G3" s="15"/>
      <c r="H3" s="15"/>
      <c r="I3" s="15"/>
      <c r="J3" s="15"/>
      <c r="K3" s="15"/>
      <c r="L3" s="264" t="s">
        <v>237</v>
      </c>
      <c r="M3" s="264" t="s">
        <v>238</v>
      </c>
      <c r="N3" s="264" t="s">
        <v>239</v>
      </c>
      <c r="O3" s="942" t="s">
        <v>186</v>
      </c>
      <c r="P3" s="19" t="s">
        <v>187</v>
      </c>
      <c r="Q3" s="19" t="s">
        <v>73</v>
      </c>
      <c r="R3" s="21"/>
      <c r="S3" s="474"/>
      <c r="T3" s="32"/>
      <c r="U3" s="474"/>
      <c r="V3" s="475"/>
      <c r="W3" s="19"/>
      <c r="X3" s="204"/>
      <c r="Y3" s="204"/>
      <c r="Z3" s="204"/>
      <c r="AA3" s="940"/>
    </row>
    <row r="4" s="3" customFormat="1" ht="37.5" customHeight="1" spans="1:28">
      <c r="A4" s="943">
        <f t="shared" ref="A4:A9" si="0">ROW()-3</f>
        <v>1</v>
      </c>
      <c r="B4" s="944" t="s">
        <v>241</v>
      </c>
      <c r="C4" s="945" t="s">
        <v>242</v>
      </c>
      <c r="D4" s="946" t="s">
        <v>265</v>
      </c>
      <c r="E4" s="946"/>
      <c r="F4" s="947">
        <v>45695</v>
      </c>
      <c r="G4" s="947">
        <v>45910</v>
      </c>
      <c r="H4" s="947">
        <v>45898</v>
      </c>
      <c r="I4" s="948">
        <v>45734</v>
      </c>
      <c r="J4" s="949">
        <v>15000</v>
      </c>
      <c r="K4" s="949">
        <v>4</v>
      </c>
      <c r="L4" s="949">
        <f>J4/K4*2</f>
        <v>7500</v>
      </c>
      <c r="M4" s="949">
        <f>J4/K4*1</f>
        <v>3750</v>
      </c>
      <c r="N4" s="949">
        <f>J4/K4*1</f>
        <v>3750</v>
      </c>
      <c r="O4" s="950" t="s">
        <v>244</v>
      </c>
      <c r="P4" s="950" t="s">
        <v>81</v>
      </c>
      <c r="Q4" s="950" t="s">
        <v>253</v>
      </c>
      <c r="R4" s="945" t="s">
        <v>81</v>
      </c>
      <c r="S4" s="951" t="s">
        <v>246</v>
      </c>
      <c r="T4" s="951" t="s">
        <v>247</v>
      </c>
      <c r="U4" s="944" t="s">
        <v>248</v>
      </c>
      <c r="V4" s="944" t="s">
        <v>249</v>
      </c>
      <c r="W4" s="952">
        <v>45898</v>
      </c>
      <c r="X4" s="951"/>
      <c r="Y4" s="953"/>
      <c r="Z4" s="954" t="s">
        <v>266</v>
      </c>
      <c r="AA4" s="955" t="s">
        <v>250</v>
      </c>
      <c r="AB4" s="3" t="s">
        <v>251</v>
      </c>
    </row>
    <row r="5" s="3" customFormat="1" ht="27" hidden="1" customHeight="1" spans="1:28">
      <c r="A5" s="208">
        <f t="shared" si="0"/>
        <v>2</v>
      </c>
      <c r="B5" s="48" t="s">
        <v>566</v>
      </c>
      <c r="C5" s="49" t="s">
        <v>296</v>
      </c>
      <c r="D5" s="50" t="s">
        <v>567</v>
      </c>
      <c r="E5" s="50" t="s">
        <v>568</v>
      </c>
      <c r="F5" s="52">
        <v>46153</v>
      </c>
      <c r="G5" s="52">
        <v>46153</v>
      </c>
      <c r="H5" s="52">
        <v>46226</v>
      </c>
      <c r="I5" s="52">
        <v>46226</v>
      </c>
      <c r="J5" s="49">
        <f>SUM(L5:N5)</f>
        <v>796</v>
      </c>
      <c r="K5" s="175">
        <v>4</v>
      </c>
      <c r="L5" s="175">
        <v>398</v>
      </c>
      <c r="M5" s="175">
        <v>199</v>
      </c>
      <c r="N5" s="175">
        <v>199</v>
      </c>
      <c r="O5" s="49" t="s">
        <v>82</v>
      </c>
      <c r="P5" s="49" t="s">
        <v>81</v>
      </c>
      <c r="Q5" s="49" t="s">
        <v>253</v>
      </c>
      <c r="R5" s="49" t="s">
        <v>81</v>
      </c>
      <c r="S5" s="211" t="s">
        <v>82</v>
      </c>
      <c r="T5" s="49" t="s">
        <v>82</v>
      </c>
      <c r="U5" s="48" t="s">
        <v>561</v>
      </c>
      <c r="V5" s="48" t="s">
        <v>249</v>
      </c>
      <c r="W5" s="176">
        <v>46226</v>
      </c>
      <c r="X5" s="308">
        <v>46225</v>
      </c>
      <c r="Y5" s="176" t="s">
        <v>1545</v>
      </c>
      <c r="Z5" s="176">
        <v>46252</v>
      </c>
      <c r="AA5" s="177"/>
      <c r="AB5" s="159" t="s">
        <v>251</v>
      </c>
    </row>
    <row r="6" s="3" customFormat="1" ht="36" customHeight="1" spans="1:28">
      <c r="A6" s="215">
        <f t="shared" si="0"/>
        <v>3</v>
      </c>
      <c r="B6" s="667" t="s">
        <v>1546</v>
      </c>
      <c r="C6" s="668" t="s">
        <v>466</v>
      </c>
      <c r="D6" s="669" t="s">
        <v>1547</v>
      </c>
      <c r="E6" s="956" t="s">
        <v>1548</v>
      </c>
      <c r="F6" s="716">
        <v>46132</v>
      </c>
      <c r="G6" s="716">
        <v>46231</v>
      </c>
      <c r="H6" s="716">
        <v>46231</v>
      </c>
      <c r="I6" s="717">
        <v>46190</v>
      </c>
      <c r="J6" s="718">
        <f>SUM(L6:N6)</f>
        <v>0</v>
      </c>
      <c r="K6" s="718">
        <v>3</v>
      </c>
      <c r="L6" s="718"/>
      <c r="M6" s="718"/>
      <c r="N6" s="718"/>
      <c r="O6" s="668" t="s">
        <v>82</v>
      </c>
      <c r="P6" s="668" t="s">
        <v>81</v>
      </c>
      <c r="Q6" s="668" t="s">
        <v>253</v>
      </c>
      <c r="R6" s="668" t="s">
        <v>81</v>
      </c>
      <c r="S6" s="724" t="s">
        <v>82</v>
      </c>
      <c r="T6" s="668" t="s">
        <v>82</v>
      </c>
      <c r="U6" s="667" t="s">
        <v>603</v>
      </c>
      <c r="V6" s="667" t="s">
        <v>1549</v>
      </c>
      <c r="W6" s="957">
        <v>46231</v>
      </c>
      <c r="X6" s="958" t="s">
        <v>1550</v>
      </c>
      <c r="Y6" s="959" t="s">
        <v>1545</v>
      </c>
      <c r="Z6" s="960" t="s">
        <v>266</v>
      </c>
      <c r="AA6" s="961">
        <v>1901707</v>
      </c>
      <c r="AB6" s="159" t="s">
        <v>1551</v>
      </c>
    </row>
    <row r="7" s="3" customFormat="1" ht="36" customHeight="1" spans="1:28">
      <c r="A7" s="215">
        <f t="shared" si="0"/>
        <v>4</v>
      </c>
      <c r="B7" s="667" t="s">
        <v>1546</v>
      </c>
      <c r="C7" s="668" t="s">
        <v>466</v>
      </c>
      <c r="D7" s="669" t="s">
        <v>1552</v>
      </c>
      <c r="E7" s="956" t="s">
        <v>1553</v>
      </c>
      <c r="F7" s="716">
        <v>46132</v>
      </c>
      <c r="G7" s="716">
        <v>46231</v>
      </c>
      <c r="H7" s="716">
        <v>46231</v>
      </c>
      <c r="I7" s="717">
        <v>46190</v>
      </c>
      <c r="J7" s="718">
        <f>SUM(L7:N7)</f>
        <v>0</v>
      </c>
      <c r="K7" s="718">
        <v>3</v>
      </c>
      <c r="L7" s="718"/>
      <c r="M7" s="718"/>
      <c r="N7" s="718"/>
      <c r="O7" s="668" t="s">
        <v>82</v>
      </c>
      <c r="P7" s="668" t="s">
        <v>81</v>
      </c>
      <c r="Q7" s="668" t="s">
        <v>253</v>
      </c>
      <c r="R7" s="668" t="s">
        <v>81</v>
      </c>
      <c r="S7" s="724" t="s">
        <v>82</v>
      </c>
      <c r="T7" s="668" t="s">
        <v>82</v>
      </c>
      <c r="U7" s="667" t="s">
        <v>603</v>
      </c>
      <c r="V7" s="667" t="s">
        <v>1549</v>
      </c>
      <c r="W7" s="957">
        <v>46231</v>
      </c>
      <c r="X7" s="958"/>
      <c r="Y7" s="722" t="s">
        <v>1545</v>
      </c>
      <c r="Z7" s="960" t="s">
        <v>266</v>
      </c>
      <c r="AA7" s="961">
        <v>1901708</v>
      </c>
      <c r="AB7" s="159" t="s">
        <v>1551</v>
      </c>
    </row>
    <row r="8" s="3" customFormat="1" ht="36" customHeight="1" spans="1:28">
      <c r="A8" s="215">
        <f t="shared" si="0"/>
        <v>5</v>
      </c>
      <c r="B8" s="667" t="s">
        <v>1546</v>
      </c>
      <c r="C8" s="668" t="s">
        <v>466</v>
      </c>
      <c r="D8" s="669" t="s">
        <v>1554</v>
      </c>
      <c r="E8" s="956" t="s">
        <v>1555</v>
      </c>
      <c r="F8" s="716">
        <v>46132</v>
      </c>
      <c r="G8" s="716">
        <v>46231</v>
      </c>
      <c r="H8" s="716">
        <v>46231</v>
      </c>
      <c r="I8" s="717">
        <v>46190</v>
      </c>
      <c r="J8" s="718">
        <f>SUM(L8:N8)</f>
        <v>0</v>
      </c>
      <c r="K8" s="718">
        <v>3</v>
      </c>
      <c r="L8" s="718"/>
      <c r="M8" s="718"/>
      <c r="N8" s="718"/>
      <c r="O8" s="668" t="s">
        <v>82</v>
      </c>
      <c r="P8" s="668" t="s">
        <v>81</v>
      </c>
      <c r="Q8" s="668" t="s">
        <v>253</v>
      </c>
      <c r="R8" s="668" t="s">
        <v>81</v>
      </c>
      <c r="S8" s="724" t="s">
        <v>82</v>
      </c>
      <c r="T8" s="668" t="s">
        <v>82</v>
      </c>
      <c r="U8" s="667" t="s">
        <v>603</v>
      </c>
      <c r="V8" s="667" t="s">
        <v>1549</v>
      </c>
      <c r="W8" s="957">
        <v>46231</v>
      </c>
      <c r="X8" s="958"/>
      <c r="Y8" s="722" t="s">
        <v>1545</v>
      </c>
      <c r="Z8" s="960" t="s">
        <v>266</v>
      </c>
      <c r="AA8" s="961">
        <v>1901605</v>
      </c>
      <c r="AB8" s="159" t="s">
        <v>1556</v>
      </c>
    </row>
    <row r="9" s="3" customFormat="1" ht="36" customHeight="1" spans="1:28">
      <c r="A9" s="215">
        <f t="shared" si="0"/>
        <v>6</v>
      </c>
      <c r="B9" s="667" t="s">
        <v>1546</v>
      </c>
      <c r="C9" s="668" t="s">
        <v>466</v>
      </c>
      <c r="D9" s="669" t="s">
        <v>1557</v>
      </c>
      <c r="E9" s="956" t="s">
        <v>1558</v>
      </c>
      <c r="F9" s="716">
        <v>46132</v>
      </c>
      <c r="G9" s="716">
        <v>46231</v>
      </c>
      <c r="H9" s="716">
        <v>46231</v>
      </c>
      <c r="I9" s="717">
        <v>46190</v>
      </c>
      <c r="J9" s="718">
        <f>SUM(L9:N9)</f>
        <v>0</v>
      </c>
      <c r="K9" s="718">
        <v>3</v>
      </c>
      <c r="L9" s="718"/>
      <c r="M9" s="718"/>
      <c r="N9" s="718"/>
      <c r="O9" s="668" t="s">
        <v>82</v>
      </c>
      <c r="P9" s="668" t="s">
        <v>81</v>
      </c>
      <c r="Q9" s="668" t="s">
        <v>253</v>
      </c>
      <c r="R9" s="668" t="s">
        <v>81</v>
      </c>
      <c r="S9" s="724" t="s">
        <v>82</v>
      </c>
      <c r="T9" s="668" t="s">
        <v>82</v>
      </c>
      <c r="U9" s="667" t="s">
        <v>603</v>
      </c>
      <c r="V9" s="667" t="s">
        <v>1549</v>
      </c>
      <c r="W9" s="957">
        <v>46231</v>
      </c>
      <c r="X9" s="958"/>
      <c r="Y9" s="722" t="s">
        <v>1545</v>
      </c>
      <c r="Z9" s="960" t="s">
        <v>266</v>
      </c>
      <c r="AA9" s="961">
        <v>1901606</v>
      </c>
      <c r="AB9" s="159" t="s">
        <v>1556</v>
      </c>
    </row>
    <row r="10" s="3" customFormat="1" ht="27" customHeight="1" spans="1:28">
      <c r="A10" s="215">
        <f t="shared" ref="A10:A11" si="1">ROW()-3</f>
        <v>7</v>
      </c>
      <c r="B10" s="183"/>
      <c r="C10" s="96"/>
      <c r="D10" s="216"/>
      <c r="E10" s="216"/>
      <c r="F10" s="217"/>
      <c r="G10" s="217"/>
      <c r="H10" s="217"/>
      <c r="I10" s="218"/>
      <c r="J10" s="95"/>
      <c r="K10" s="95"/>
      <c r="L10" s="277"/>
      <c r="M10" s="277"/>
      <c r="N10" s="277"/>
      <c r="O10" s="962"/>
      <c r="P10" s="962"/>
      <c r="Q10" s="962"/>
      <c r="R10" s="96"/>
      <c r="S10" s="279"/>
      <c r="T10" s="279"/>
      <c r="U10" s="183"/>
      <c r="V10" s="183"/>
      <c r="W10" s="280"/>
      <c r="X10" s="222"/>
      <c r="Y10" s="97"/>
      <c r="Z10" s="97"/>
      <c r="AA10" s="178"/>
      <c r="AB10" s="159"/>
    </row>
    <row r="11" s="3" customFormat="1" ht="27" customHeight="1" spans="1:28">
      <c r="A11" s="215">
        <f t="shared" si="1"/>
        <v>8</v>
      </c>
      <c r="B11" s="183"/>
      <c r="C11" s="96"/>
      <c r="D11" s="216"/>
      <c r="E11" s="216"/>
      <c r="F11" s="217"/>
      <c r="G11" s="217"/>
      <c r="H11" s="217"/>
      <c r="I11" s="218"/>
      <c r="J11" s="95"/>
      <c r="K11" s="95"/>
      <c r="L11" s="277"/>
      <c r="M11" s="277"/>
      <c r="N11" s="277"/>
      <c r="O11" s="962"/>
      <c r="P11" s="962"/>
      <c r="Q11" s="962"/>
      <c r="R11" s="96"/>
      <c r="S11" s="279"/>
      <c r="T11" s="279"/>
      <c r="U11" s="183"/>
      <c r="V11" s="183"/>
      <c r="W11" s="280"/>
      <c r="X11" s="222"/>
      <c r="Y11" s="97"/>
      <c r="Z11" s="97"/>
      <c r="AA11" s="178"/>
    </row>
    <row r="12" s="3" customFormat="1" ht="21.75" customHeight="1" spans="1:28">
      <c r="A12" s="93" t="s">
        <v>66</v>
      </c>
      <c r="B12" s="94"/>
      <c r="C12" s="94"/>
      <c r="D12" s="94"/>
      <c r="E12" s="94"/>
      <c r="F12" s="94"/>
      <c r="G12" s="94"/>
      <c r="H12" s="94"/>
      <c r="I12" s="94"/>
      <c r="J12" s="95">
        <f>SUM(J5:J7)</f>
        <v>796</v>
      </c>
      <c r="K12" s="95"/>
      <c r="L12" s="95">
        <f>SUM(L5:L5)</f>
        <v>398</v>
      </c>
      <c r="M12" s="95">
        <f>SUM(M5:M5)</f>
        <v>199</v>
      </c>
      <c r="N12" s="95">
        <f>SUM(N5:N5)</f>
        <v>199</v>
      </c>
      <c r="O12" s="183"/>
      <c r="P12" s="183"/>
      <c r="Q12" s="96"/>
      <c r="R12" s="96"/>
      <c r="S12" s="96"/>
      <c r="T12" s="96"/>
      <c r="U12" s="96"/>
      <c r="V12" s="96"/>
      <c r="W12" s="97"/>
      <c r="X12" s="97"/>
      <c r="Y12" s="97"/>
      <c r="Z12" s="97"/>
      <c r="AA12" s="98"/>
    </row>
    <row r="13" s="4" customFormat="1" ht="17.1" customHeight="1" spans="1:28">
      <c r="A13" s="99"/>
      <c r="B13" s="100"/>
      <c r="C13" s="100"/>
      <c r="D13" s="100"/>
      <c r="E13" s="100"/>
      <c r="F13" s="100"/>
      <c r="G13" s="100"/>
      <c r="H13" s="100"/>
      <c r="I13" s="100"/>
      <c r="J13" s="100">
        <f>SUM(L13:N13)</f>
        <v>15000</v>
      </c>
      <c r="K13" s="100"/>
      <c r="L13" s="100">
        <f>7500</f>
        <v>7500</v>
      </c>
      <c r="M13" s="100">
        <f>3750</f>
        <v>3750</v>
      </c>
      <c r="N13" s="100">
        <f>3750</f>
        <v>3750</v>
      </c>
      <c r="O13" s="963"/>
      <c r="P13" s="963"/>
      <c r="Q13" s="96"/>
      <c r="R13" s="100"/>
      <c r="S13" s="100"/>
      <c r="T13" s="100"/>
      <c r="U13" s="100"/>
      <c r="V13" s="100"/>
      <c r="W13" s="100"/>
      <c r="X13" s="100"/>
      <c r="Y13" s="100"/>
      <c r="Z13" s="100"/>
      <c r="AA13" s="102"/>
    </row>
    <row r="14" s="4" customFormat="1" ht="17.1" customHeight="1" spans="1:28">
      <c r="A14" s="241" t="s">
        <v>67</v>
      </c>
      <c r="B14" s="242"/>
      <c r="C14" s="242"/>
      <c r="D14" s="242"/>
      <c r="E14" s="242"/>
      <c r="F14" s="242"/>
      <c r="G14" s="242"/>
      <c r="H14" s="242"/>
      <c r="I14" s="243"/>
      <c r="J14" s="964">
        <f>J13-J12</f>
        <v>14204</v>
      </c>
      <c r="K14" s="245"/>
      <c r="L14" s="106">
        <f>L13-L12</f>
        <v>7102</v>
      </c>
      <c r="M14" s="106">
        <f>M13-M12</f>
        <v>3551</v>
      </c>
      <c r="N14" s="106">
        <f>N13-N12</f>
        <v>3551</v>
      </c>
      <c r="O14" s="839"/>
      <c r="P14" s="839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9"/>
    </row>
    <row r="15" spans="1:28">
      <c r="B15" s="110" t="s">
        <v>68</v>
      </c>
      <c r="C15" s="110"/>
      <c r="D15" s="111"/>
      <c r="E15" s="111"/>
      <c r="F15" s="111"/>
      <c r="G15" s="111"/>
      <c r="H15" s="111"/>
      <c r="I15" s="965"/>
      <c r="J15" s="965"/>
      <c r="K15" s="965"/>
    </row>
  </sheetData>
  <autoFilter xmlns:etc="http://www.wps.cn/officeDocument/2017/etCustomData" ref="A3:AB15" etc:filterBottomFollowUsedRange="0">
    <filterColumn colId="25">
      <customFilters>
        <customFilter operator="equal" val=""/>
        <customFilter operator="equal" val="订单取消"/>
      </customFilters>
    </filterColumn>
    <extLst/>
  </autoFilter>
  <mergeCells count="30">
    <mergeCell ref="A1:W1"/>
    <mergeCell ref="X1:Y1"/>
    <mergeCell ref="Z1:AA1"/>
    <mergeCell ref="L2:N2"/>
    <mergeCell ref="O2:Q2"/>
    <mergeCell ref="A12:I12"/>
    <mergeCell ref="A13:I13"/>
    <mergeCell ref="A14:I14"/>
    <mergeCell ref="I15:K15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</mergeCells>
  <conditionalFormatting sqref="L14:N14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62" orientation="landscape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0000"/>
    <pageSetUpPr fitToPage="1"/>
  </sheetPr>
  <dimension ref="A1:AL18"/>
  <sheetViews>
    <sheetView workbookViewId="0">
      <pane xSplit="11" ySplit="3" topLeftCell="U4" activePane="bottomRight" state="frozen"/>
      <selection/>
      <selection pane="topRight"/>
      <selection pane="bottomLeft"/>
      <selection pane="bottomRight" activeCell="AL30" sqref="AL30"/>
    </sheetView>
  </sheetViews>
  <sheetFormatPr defaultColWidth="9" defaultRowHeight="14.25"/>
  <cols>
    <col min="1" max="1" width="3.125" customWidth="1"/>
    <col min="2" max="2" width="8.125" customWidth="1"/>
    <col min="3" max="3" width="7.125" customWidth="1"/>
    <col min="4" max="5" width="11.625" customWidth="1"/>
    <col min="6" max="9" width="5.125" customWidth="1"/>
    <col min="10" max="10" width="8.625" style="925" customWidth="1"/>
    <col min="11" max="11" width="5.125" customWidth="1"/>
    <col min="12" max="24" width="6.125" customWidth="1"/>
    <col min="25" max="25" width="8.5" customWidth="1"/>
    <col min="26" max="27" width="4.875" customWidth="1"/>
    <col min="28" max="29" width="5.125" customWidth="1"/>
    <col min="30" max="30" width="6.125" customWidth="1"/>
    <col min="31" max="31" width="7.625" customWidth="1"/>
    <col min="32" max="32" width="19.625" customWidth="1"/>
    <col min="33" max="33" width="8.875" customWidth="1"/>
    <col min="34" max="35" width="8.625" style="113" customWidth="1"/>
    <col min="36" max="36" width="7.375" style="113" customWidth="1"/>
    <col min="37" max="37" width="14" customWidth="1"/>
    <col min="38" max="38" width="16.625" style="288" customWidth="1"/>
  </cols>
  <sheetData>
    <row r="1" ht="35.1" customHeight="1" spans="1:38">
      <c r="A1" s="926" t="s">
        <v>1559</v>
      </c>
      <c r="B1" s="927"/>
      <c r="C1" s="927"/>
      <c r="D1" s="927"/>
      <c r="E1" s="927"/>
      <c r="F1" s="927"/>
      <c r="G1" s="927"/>
      <c r="H1" s="927"/>
      <c r="I1" s="927"/>
      <c r="J1" s="927"/>
      <c r="K1" s="927"/>
      <c r="L1" s="927"/>
      <c r="M1" s="927"/>
      <c r="N1" s="927"/>
      <c r="O1" s="927"/>
      <c r="P1" s="927"/>
      <c r="Q1" s="927"/>
      <c r="R1" s="927"/>
      <c r="S1" s="927"/>
      <c r="T1" s="927"/>
      <c r="U1" s="927"/>
      <c r="V1" s="927"/>
      <c r="W1" s="927"/>
      <c r="X1" s="927"/>
      <c r="Y1" s="927"/>
      <c r="Z1" s="927"/>
      <c r="AA1" s="927"/>
      <c r="AB1" s="927"/>
      <c r="AC1" s="927"/>
      <c r="AD1" s="927"/>
      <c r="AE1" s="927"/>
      <c r="AF1" s="927"/>
      <c r="AG1" s="928"/>
      <c r="AH1" s="259" t="s">
        <v>1</v>
      </c>
      <c r="AI1" s="260"/>
      <c r="AJ1" s="200">
        <v>45773</v>
      </c>
      <c r="AK1" s="201"/>
      <c r="AL1" s="301"/>
    </row>
    <row r="2" s="190" customFormat="1" ht="21.95" customHeight="1" spans="1:38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929" t="s">
        <v>11</v>
      </c>
      <c r="K2" s="15" t="s">
        <v>12</v>
      </c>
      <c r="L2" s="187" t="s">
        <v>1560</v>
      </c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9"/>
      <c r="Y2" s="19" t="s">
        <v>14</v>
      </c>
      <c r="Z2" s="21" t="s">
        <v>15</v>
      </c>
      <c r="AA2" s="22" t="s">
        <v>16</v>
      </c>
      <c r="AB2" s="21" t="s">
        <v>178</v>
      </c>
      <c r="AC2" s="22" t="s">
        <v>18</v>
      </c>
      <c r="AD2" s="21" t="s">
        <v>19</v>
      </c>
      <c r="AE2" s="22" t="s">
        <v>20</v>
      </c>
      <c r="AF2" s="24" t="s">
        <v>21</v>
      </c>
      <c r="AG2" s="19" t="s">
        <v>22</v>
      </c>
      <c r="AH2" s="302" t="s">
        <v>23</v>
      </c>
      <c r="AI2" s="26" t="s">
        <v>24</v>
      </c>
      <c r="AJ2" s="26" t="s">
        <v>25</v>
      </c>
      <c r="AK2" s="27" t="s">
        <v>26</v>
      </c>
    </row>
    <row r="3" s="190" customFormat="1" ht="27" customHeight="1" spans="1:38">
      <c r="A3" s="14"/>
      <c r="B3" s="15"/>
      <c r="C3" s="15"/>
      <c r="D3" s="15"/>
      <c r="E3" s="29"/>
      <c r="F3" s="15"/>
      <c r="G3" s="15"/>
      <c r="H3" s="15"/>
      <c r="I3" s="15"/>
      <c r="J3" s="929"/>
      <c r="K3" s="15"/>
      <c r="L3" s="930" t="s">
        <v>1561</v>
      </c>
      <c r="M3" s="930" t="s">
        <v>1562</v>
      </c>
      <c r="N3" s="930" t="s">
        <v>1563</v>
      </c>
      <c r="O3" s="930" t="s">
        <v>1564</v>
      </c>
      <c r="P3" s="930" t="s">
        <v>1565</v>
      </c>
      <c r="Q3" s="930" t="s">
        <v>1566</v>
      </c>
      <c r="R3" s="930" t="s">
        <v>1567</v>
      </c>
      <c r="S3" s="930" t="s">
        <v>1568</v>
      </c>
      <c r="T3" s="930" t="s">
        <v>1569</v>
      </c>
      <c r="U3" s="930" t="s">
        <v>1570</v>
      </c>
      <c r="V3" s="930" t="s">
        <v>1571</v>
      </c>
      <c r="W3" s="930" t="s">
        <v>1572</v>
      </c>
      <c r="X3" s="930" t="s">
        <v>1573</v>
      </c>
      <c r="Y3" s="19"/>
      <c r="Z3" s="21"/>
      <c r="AA3" s="32"/>
      <c r="AB3" s="21"/>
      <c r="AC3" s="32"/>
      <c r="AD3" s="21"/>
      <c r="AE3" s="32"/>
      <c r="AF3" s="24"/>
      <c r="AG3" s="19"/>
      <c r="AH3" s="303"/>
      <c r="AI3" s="26"/>
      <c r="AJ3" s="26"/>
      <c r="AK3" s="27"/>
    </row>
    <row r="4" s="3" customFormat="1" ht="38.25" customHeight="1" spans="1:38">
      <c r="A4" s="215">
        <f>ROW()-3</f>
        <v>1</v>
      </c>
      <c r="B4" s="48" t="s">
        <v>394</v>
      </c>
      <c r="C4" s="49" t="s">
        <v>342</v>
      </c>
      <c r="D4" s="931" t="s">
        <v>1574</v>
      </c>
      <c r="E4" s="931"/>
      <c r="F4" s="52">
        <v>45673</v>
      </c>
      <c r="G4" s="52">
        <v>45761</v>
      </c>
      <c r="H4" s="52">
        <v>45757</v>
      </c>
      <c r="I4" s="53">
        <v>45705</v>
      </c>
      <c r="J4" s="932">
        <v>39000</v>
      </c>
      <c r="K4" s="175">
        <v>78</v>
      </c>
      <c r="L4" s="175">
        <f>J4/K4*6</f>
        <v>3000</v>
      </c>
      <c r="M4" s="175">
        <f>J4/K4*6</f>
        <v>3000</v>
      </c>
      <c r="N4" s="175">
        <f>J4/K4*6</f>
        <v>3000</v>
      </c>
      <c r="O4" s="175">
        <f>J4/K4*6</f>
        <v>3000</v>
      </c>
      <c r="P4" s="175">
        <f>J4/K4*6</f>
        <v>3000</v>
      </c>
      <c r="Q4" s="175">
        <f>J4/K4*6</f>
        <v>3000</v>
      </c>
      <c r="R4" s="175">
        <f>J4/K4*6</f>
        <v>3000</v>
      </c>
      <c r="S4" s="175">
        <f>J4/K4*6</f>
        <v>3000</v>
      </c>
      <c r="T4" s="175">
        <f>J4/K4*6</f>
        <v>3000</v>
      </c>
      <c r="U4" s="175">
        <f>J4/K4*6</f>
        <v>3000</v>
      </c>
      <c r="V4" s="175">
        <f>J4/K4*6</f>
        <v>3000</v>
      </c>
      <c r="W4" s="175">
        <f>J4/K4*6</f>
        <v>3000</v>
      </c>
      <c r="X4" s="175">
        <f>J4/K4*6</f>
        <v>3000</v>
      </c>
      <c r="Y4" s="49" t="s">
        <v>1575</v>
      </c>
      <c r="Z4" s="49" t="s">
        <v>81</v>
      </c>
      <c r="AA4" s="305" t="s">
        <v>1576</v>
      </c>
      <c r="AB4" s="211" t="s">
        <v>1577</v>
      </c>
      <c r="AC4" s="211" t="s">
        <v>1065</v>
      </c>
      <c r="AD4" s="48" t="s">
        <v>1578</v>
      </c>
      <c r="AE4" s="48" t="s">
        <v>1575</v>
      </c>
      <c r="AF4" s="48" t="s">
        <v>1579</v>
      </c>
      <c r="AG4" s="176">
        <v>45757</v>
      </c>
      <c r="AH4" s="176">
        <v>45757</v>
      </c>
      <c r="AI4" s="176"/>
      <c r="AJ4" s="325" t="s">
        <v>266</v>
      </c>
      <c r="AK4" s="177" t="s">
        <v>1580</v>
      </c>
      <c r="AL4" s="159" t="s">
        <v>1581</v>
      </c>
    </row>
    <row r="5" s="3" customFormat="1" ht="27" hidden="1" customHeight="1" spans="1:38">
      <c r="A5" s="215">
        <f>ROW()-3</f>
        <v>2</v>
      </c>
      <c r="B5" s="48" t="s">
        <v>1582</v>
      </c>
      <c r="C5" s="49" t="s">
        <v>77</v>
      </c>
      <c r="D5" s="50" t="s">
        <v>1583</v>
      </c>
      <c r="E5" s="50" t="s">
        <v>1584</v>
      </c>
      <c r="F5" s="52">
        <v>46083</v>
      </c>
      <c r="G5" s="52">
        <v>46127</v>
      </c>
      <c r="H5" s="52">
        <v>46127</v>
      </c>
      <c r="I5" s="53">
        <v>46101</v>
      </c>
      <c r="J5" s="932">
        <f>SUM(L5:X5)</f>
        <v>7800</v>
      </c>
      <c r="K5" s="175">
        <v>78</v>
      </c>
      <c r="L5" s="175">
        <v>600</v>
      </c>
      <c r="M5" s="175">
        <v>600</v>
      </c>
      <c r="N5" s="175">
        <v>600</v>
      </c>
      <c r="O5" s="175">
        <v>600</v>
      </c>
      <c r="P5" s="175">
        <v>600</v>
      </c>
      <c r="Q5" s="175">
        <v>600</v>
      </c>
      <c r="R5" s="175">
        <v>600</v>
      </c>
      <c r="S5" s="175">
        <v>600</v>
      </c>
      <c r="T5" s="175">
        <v>600</v>
      </c>
      <c r="U5" s="175">
        <v>600</v>
      </c>
      <c r="V5" s="175">
        <v>600</v>
      </c>
      <c r="W5" s="175">
        <v>600</v>
      </c>
      <c r="X5" s="175">
        <v>600</v>
      </c>
      <c r="Y5" s="49" t="s">
        <v>1575</v>
      </c>
      <c r="Z5" s="49" t="s">
        <v>81</v>
      </c>
      <c r="AA5" s="49" t="s">
        <v>82</v>
      </c>
      <c r="AB5" s="49" t="s">
        <v>82</v>
      </c>
      <c r="AC5" s="49" t="s">
        <v>82</v>
      </c>
      <c r="AD5" s="48" t="s">
        <v>83</v>
      </c>
      <c r="AE5" s="48" t="s">
        <v>1575</v>
      </c>
      <c r="AF5" s="48" t="s">
        <v>1585</v>
      </c>
      <c r="AG5" s="176">
        <v>46127</v>
      </c>
      <c r="AH5" s="176">
        <v>46122</v>
      </c>
      <c r="AI5" s="325"/>
      <c r="AJ5" s="176">
        <v>46149</v>
      </c>
      <c r="AK5" s="177">
        <v>40559313</v>
      </c>
      <c r="AL5" s="159" t="s">
        <v>1581</v>
      </c>
    </row>
    <row r="6" s="3" customFormat="1" ht="27" hidden="1" customHeight="1" spans="1:38">
      <c r="A6" s="215">
        <f>ROW()-3</f>
        <v>3</v>
      </c>
      <c r="B6" s="48" t="s">
        <v>1582</v>
      </c>
      <c r="C6" s="49" t="s">
        <v>77</v>
      </c>
      <c r="D6" s="50" t="s">
        <v>1586</v>
      </c>
      <c r="E6" s="50" t="s">
        <v>1587</v>
      </c>
      <c r="F6" s="52">
        <v>46083</v>
      </c>
      <c r="G6" s="52">
        <v>46127</v>
      </c>
      <c r="H6" s="52">
        <v>46127</v>
      </c>
      <c r="I6" s="53">
        <v>46101</v>
      </c>
      <c r="J6" s="932">
        <f>SUM(L6:X6)</f>
        <v>2574</v>
      </c>
      <c r="K6" s="175">
        <v>78</v>
      </c>
      <c r="L6" s="175">
        <v>198</v>
      </c>
      <c r="M6" s="175">
        <v>198</v>
      </c>
      <c r="N6" s="175">
        <v>198</v>
      </c>
      <c r="O6" s="175">
        <v>198</v>
      </c>
      <c r="P6" s="175">
        <v>198</v>
      </c>
      <c r="Q6" s="175">
        <v>198</v>
      </c>
      <c r="R6" s="175">
        <v>198</v>
      </c>
      <c r="S6" s="175">
        <v>198</v>
      </c>
      <c r="T6" s="175">
        <v>198</v>
      </c>
      <c r="U6" s="175">
        <v>198</v>
      </c>
      <c r="V6" s="175">
        <v>198</v>
      </c>
      <c r="W6" s="175">
        <v>198</v>
      </c>
      <c r="X6" s="175">
        <v>198</v>
      </c>
      <c r="Y6" s="49" t="s">
        <v>1575</v>
      </c>
      <c r="Z6" s="49" t="s">
        <v>81</v>
      </c>
      <c r="AA6" s="49" t="s">
        <v>82</v>
      </c>
      <c r="AB6" s="49" t="s">
        <v>82</v>
      </c>
      <c r="AC6" s="49" t="s">
        <v>82</v>
      </c>
      <c r="AD6" s="48" t="s">
        <v>83</v>
      </c>
      <c r="AE6" s="48" t="s">
        <v>1575</v>
      </c>
      <c r="AF6" s="48" t="s">
        <v>1585</v>
      </c>
      <c r="AG6" s="176">
        <v>46127</v>
      </c>
      <c r="AH6" s="176">
        <v>46122</v>
      </c>
      <c r="AI6" s="325"/>
      <c r="AJ6" s="176">
        <v>46149</v>
      </c>
      <c r="AK6" s="177">
        <v>40559602</v>
      </c>
      <c r="AL6" s="159" t="s">
        <v>1581</v>
      </c>
    </row>
    <row r="7" s="3" customFormat="1" ht="27" hidden="1" customHeight="1" spans="1:38">
      <c r="A7" s="215">
        <f>ROW()-3</f>
        <v>4</v>
      </c>
      <c r="B7" s="48" t="s">
        <v>1582</v>
      </c>
      <c r="C7" s="49" t="s">
        <v>77</v>
      </c>
      <c r="D7" s="50" t="s">
        <v>1588</v>
      </c>
      <c r="E7" s="50" t="s">
        <v>1589</v>
      </c>
      <c r="F7" s="52">
        <v>46083</v>
      </c>
      <c r="G7" s="52">
        <v>46127</v>
      </c>
      <c r="H7" s="52">
        <v>46127</v>
      </c>
      <c r="I7" s="53">
        <v>46101</v>
      </c>
      <c r="J7" s="932">
        <f>SUM(L7:X7)</f>
        <v>2574</v>
      </c>
      <c r="K7" s="175">
        <v>78</v>
      </c>
      <c r="L7" s="175">
        <v>198</v>
      </c>
      <c r="M7" s="175">
        <v>198</v>
      </c>
      <c r="N7" s="175">
        <v>198</v>
      </c>
      <c r="O7" s="175">
        <v>198</v>
      </c>
      <c r="P7" s="175">
        <v>198</v>
      </c>
      <c r="Q7" s="175">
        <v>198</v>
      </c>
      <c r="R7" s="175">
        <v>198</v>
      </c>
      <c r="S7" s="175">
        <v>198</v>
      </c>
      <c r="T7" s="175">
        <v>198</v>
      </c>
      <c r="U7" s="175">
        <v>198</v>
      </c>
      <c r="V7" s="175">
        <v>198</v>
      </c>
      <c r="W7" s="175">
        <v>198</v>
      </c>
      <c r="X7" s="175">
        <v>198</v>
      </c>
      <c r="Y7" s="49" t="s">
        <v>1575</v>
      </c>
      <c r="Z7" s="49" t="s">
        <v>81</v>
      </c>
      <c r="AA7" s="49" t="s">
        <v>82</v>
      </c>
      <c r="AB7" s="49" t="s">
        <v>82</v>
      </c>
      <c r="AC7" s="49" t="s">
        <v>82</v>
      </c>
      <c r="AD7" s="48" t="s">
        <v>83</v>
      </c>
      <c r="AE7" s="48" t="s">
        <v>1575</v>
      </c>
      <c r="AF7" s="48" t="s">
        <v>1585</v>
      </c>
      <c r="AG7" s="176">
        <v>46127</v>
      </c>
      <c r="AH7" s="176">
        <v>46122</v>
      </c>
      <c r="AI7" s="325"/>
      <c r="AJ7" s="176">
        <v>46149</v>
      </c>
      <c r="AK7" s="177">
        <v>40559495</v>
      </c>
      <c r="AL7" s="159" t="s">
        <v>1581</v>
      </c>
    </row>
    <row r="8" s="3" customFormat="1" ht="27" customHeight="1" spans="1:38">
      <c r="A8" s="215">
        <f>ROW()-3</f>
        <v>5</v>
      </c>
      <c r="B8" s="183"/>
      <c r="C8" s="96"/>
      <c r="D8" s="216"/>
      <c r="E8" s="216"/>
      <c r="F8" s="217"/>
      <c r="G8" s="217"/>
      <c r="H8" s="217"/>
      <c r="I8" s="218"/>
      <c r="J8" s="933"/>
      <c r="K8" s="95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7"/>
      <c r="Y8" s="219"/>
      <c r="Z8" s="96"/>
      <c r="AA8" s="96"/>
      <c r="AB8" s="279"/>
      <c r="AC8" s="279"/>
      <c r="AD8" s="183"/>
      <c r="AE8" s="183"/>
      <c r="AF8" s="183"/>
      <c r="AG8" s="97"/>
      <c r="AH8" s="310"/>
      <c r="AI8" s="97"/>
      <c r="AJ8" s="97"/>
      <c r="AK8" s="178"/>
      <c r="AL8" s="159"/>
    </row>
    <row r="9" s="3" customFormat="1" ht="27" customHeight="1" spans="1:38">
      <c r="A9" s="215"/>
      <c r="B9" s="183"/>
      <c r="C9" s="96"/>
      <c r="D9" s="216"/>
      <c r="E9" s="216"/>
      <c r="F9" s="217"/>
      <c r="G9" s="217"/>
      <c r="H9" s="217"/>
      <c r="I9" s="218"/>
      <c r="J9" s="933"/>
      <c r="K9" s="95"/>
      <c r="L9" s="277"/>
      <c r="M9" s="277"/>
      <c r="N9" s="277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19"/>
      <c r="Z9" s="96"/>
      <c r="AA9" s="96"/>
      <c r="AB9" s="279"/>
      <c r="AC9" s="279"/>
      <c r="AD9" s="183"/>
      <c r="AE9" s="183"/>
      <c r="AF9" s="183"/>
      <c r="AG9" s="97"/>
      <c r="AH9" s="310"/>
      <c r="AI9" s="97"/>
      <c r="AJ9" s="97"/>
      <c r="AK9" s="178"/>
      <c r="AL9" s="159"/>
    </row>
    <row r="10" s="3" customFormat="1" ht="17.1" customHeight="1" spans="1:38">
      <c r="A10" s="93" t="s">
        <v>66</v>
      </c>
      <c r="B10" s="94"/>
      <c r="C10" s="94"/>
      <c r="D10" s="94"/>
      <c r="E10" s="94"/>
      <c r="F10" s="94"/>
      <c r="G10" s="94"/>
      <c r="H10" s="94"/>
      <c r="I10" s="94"/>
      <c r="J10" s="933">
        <f>SUM(J4:J8)</f>
        <v>51948</v>
      </c>
      <c r="K10" s="95"/>
      <c r="L10" s="95">
        <f>SUM(L5:L9)</f>
        <v>996</v>
      </c>
      <c r="M10" s="95">
        <f>SUM(M5:M9)</f>
        <v>996</v>
      </c>
      <c r="N10" s="95">
        <f t="shared" ref="N10:X10" si="0">SUM(N5:N9)</f>
        <v>996</v>
      </c>
      <c r="O10" s="95">
        <f t="shared" si="0"/>
        <v>996</v>
      </c>
      <c r="P10" s="95">
        <f t="shared" si="0"/>
        <v>996</v>
      </c>
      <c r="Q10" s="95">
        <f t="shared" si="0"/>
        <v>996</v>
      </c>
      <c r="R10" s="95">
        <f t="shared" si="0"/>
        <v>996</v>
      </c>
      <c r="S10" s="95">
        <f t="shared" si="0"/>
        <v>996</v>
      </c>
      <c r="T10" s="95">
        <f t="shared" si="0"/>
        <v>996</v>
      </c>
      <c r="U10" s="95">
        <f t="shared" si="0"/>
        <v>996</v>
      </c>
      <c r="V10" s="95">
        <f t="shared" si="0"/>
        <v>996</v>
      </c>
      <c r="W10" s="95">
        <f t="shared" si="0"/>
        <v>996</v>
      </c>
      <c r="X10" s="95">
        <f t="shared" si="0"/>
        <v>996</v>
      </c>
      <c r="Y10" s="95"/>
      <c r="Z10" s="96"/>
      <c r="AA10" s="96"/>
      <c r="AB10" s="96"/>
      <c r="AC10" s="96"/>
      <c r="AD10" s="96"/>
      <c r="AE10" s="96"/>
      <c r="AF10" s="96"/>
      <c r="AG10" s="97"/>
      <c r="AH10" s="97"/>
      <c r="AI10" s="97"/>
      <c r="AJ10" s="97"/>
      <c r="AK10" s="98"/>
      <c r="AL10" s="159"/>
    </row>
    <row r="11" s="4" customFormat="1" ht="17.1" customHeight="1" spans="1:38">
      <c r="A11" s="99"/>
      <c r="B11" s="100"/>
      <c r="C11" s="100"/>
      <c r="D11" s="100"/>
      <c r="E11" s="100"/>
      <c r="F11" s="100"/>
      <c r="G11" s="100"/>
      <c r="H11" s="100"/>
      <c r="I11" s="100"/>
      <c r="J11" s="934">
        <f>SUM(L11:P11)</f>
        <v>15000</v>
      </c>
      <c r="K11" s="100"/>
      <c r="L11" s="147">
        <f t="shared" ref="L11:X11" si="1">3000</f>
        <v>3000</v>
      </c>
      <c r="M11" s="147">
        <f t="shared" si="1"/>
        <v>3000</v>
      </c>
      <c r="N11" s="147">
        <f t="shared" si="1"/>
        <v>3000</v>
      </c>
      <c r="O11" s="147">
        <f t="shared" si="1"/>
        <v>3000</v>
      </c>
      <c r="P11" s="147">
        <f t="shared" si="1"/>
        <v>3000</v>
      </c>
      <c r="Q11" s="147">
        <f t="shared" si="1"/>
        <v>3000</v>
      </c>
      <c r="R11" s="147">
        <f t="shared" si="1"/>
        <v>3000</v>
      </c>
      <c r="S11" s="147">
        <f t="shared" si="1"/>
        <v>3000</v>
      </c>
      <c r="T11" s="147">
        <f t="shared" si="1"/>
        <v>3000</v>
      </c>
      <c r="U11" s="147">
        <f t="shared" si="1"/>
        <v>3000</v>
      </c>
      <c r="V11" s="147">
        <f t="shared" si="1"/>
        <v>3000</v>
      </c>
      <c r="W11" s="147">
        <f t="shared" si="1"/>
        <v>3000</v>
      </c>
      <c r="X11" s="147">
        <f t="shared" si="1"/>
        <v>3000</v>
      </c>
      <c r="Y11" s="147"/>
      <c r="Z11" s="100"/>
      <c r="AA11" s="100"/>
      <c r="AB11" s="100"/>
      <c r="AC11" s="100"/>
      <c r="AD11" s="100"/>
      <c r="AE11" s="100"/>
      <c r="AF11" s="100"/>
      <c r="AG11" s="100"/>
      <c r="AH11" s="101"/>
      <c r="AI11" s="101"/>
      <c r="AJ11" s="101"/>
      <c r="AK11" s="102"/>
      <c r="AL11" s="295"/>
    </row>
    <row r="12" s="4" customFormat="1" ht="17.1" customHeight="1" spans="1:38">
      <c r="A12" s="241" t="s">
        <v>67</v>
      </c>
      <c r="B12" s="242"/>
      <c r="C12" s="242"/>
      <c r="D12" s="242"/>
      <c r="E12" s="242"/>
      <c r="F12" s="242"/>
      <c r="G12" s="242"/>
      <c r="H12" s="242"/>
      <c r="I12" s="243"/>
      <c r="J12" s="838">
        <f>SUM(L12:X12)</f>
        <v>26052</v>
      </c>
      <c r="K12" s="245"/>
      <c r="L12" s="106">
        <f t="shared" ref="L12:X12" si="2">L11-L10</f>
        <v>2004</v>
      </c>
      <c r="M12" s="106">
        <f t="shared" si="2"/>
        <v>2004</v>
      </c>
      <c r="N12" s="106">
        <f t="shared" si="2"/>
        <v>2004</v>
      </c>
      <c r="O12" s="106">
        <f t="shared" si="2"/>
        <v>2004</v>
      </c>
      <c r="P12" s="106">
        <f t="shared" si="2"/>
        <v>2004</v>
      </c>
      <c r="Q12" s="106">
        <f t="shared" si="2"/>
        <v>2004</v>
      </c>
      <c r="R12" s="106">
        <f t="shared" si="2"/>
        <v>2004</v>
      </c>
      <c r="S12" s="106">
        <f t="shared" si="2"/>
        <v>2004</v>
      </c>
      <c r="T12" s="106">
        <f t="shared" si="2"/>
        <v>2004</v>
      </c>
      <c r="U12" s="106">
        <f t="shared" si="2"/>
        <v>2004</v>
      </c>
      <c r="V12" s="106">
        <f t="shared" si="2"/>
        <v>2004</v>
      </c>
      <c r="W12" s="106">
        <f t="shared" si="2"/>
        <v>2004</v>
      </c>
      <c r="X12" s="106">
        <f t="shared" si="2"/>
        <v>2004</v>
      </c>
      <c r="Y12" s="106"/>
      <c r="Z12" s="106"/>
      <c r="AA12" s="106"/>
      <c r="AB12" s="106"/>
      <c r="AC12" s="106"/>
      <c r="AD12" s="106"/>
      <c r="AE12" s="106"/>
      <c r="AF12" s="106"/>
      <c r="AG12" s="107"/>
      <c r="AH12" s="108"/>
      <c r="AI12" s="108"/>
      <c r="AJ12" s="108"/>
      <c r="AK12" s="109"/>
      <c r="AL12" s="295"/>
    </row>
    <row r="13" spans="1:38">
      <c r="B13" s="110" t="s">
        <v>68</v>
      </c>
      <c r="C13" s="110"/>
      <c r="D13" s="111"/>
      <c r="E13" s="111"/>
      <c r="F13" s="111"/>
      <c r="G13" s="111"/>
      <c r="H13" s="111"/>
      <c r="I13" s="111"/>
    </row>
    <row r="17" spans="2:2">
      <c r="B17" s="286"/>
    </row>
    <row r="18" spans="2:2">
      <c r="B18" s="286"/>
    </row>
  </sheetData>
  <autoFilter xmlns:etc="http://www.wps.cn/officeDocument/2017/etCustomData" ref="A3:AL13" etc:filterBottomFollowUsedRange="0">
    <filterColumn colId="35">
      <customFilters>
        <customFilter operator="equal" val=""/>
        <customFilter operator="equal" val="订单取消"/>
      </customFilters>
    </filterColumn>
    <extLst/>
  </autoFilter>
  <mergeCells count="31">
    <mergeCell ref="A1:AG1"/>
    <mergeCell ref="AH1:AI1"/>
    <mergeCell ref="AJ1:AK1"/>
    <mergeCell ref="L2:X2"/>
    <mergeCell ref="A10:I10"/>
    <mergeCell ref="A11:I11"/>
    <mergeCell ref="A12:I1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</mergeCells>
  <conditionalFormatting sqref="L12:AF12">
    <cfRule type="cellIs" dxfId="0" priority="1" operator="lessThan">
      <formula>0</formula>
    </cfRule>
  </conditionalFormatting>
  <printOptions horizontalCentered="1"/>
  <pageMargins left="0.313888888888889" right="0.313888888888889" top="0.55" bottom="0.55" header="0.313888888888889" footer="0.313888888888889"/>
  <pageSetup paperSize="9" scale="50" orientation="landscape"/>
  <headerFooter/>
  <colBreaks count="1" manualBreakCount="1">
    <brk id="37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99FF"/>
    <pageSetUpPr fitToPage="1"/>
  </sheetPr>
  <dimension ref="A1:AG20"/>
  <sheetViews>
    <sheetView workbookViewId="0">
      <pane xSplit="11" ySplit="3" topLeftCell="O4" activePane="bottomRight" state="frozen"/>
      <selection/>
      <selection pane="topRight"/>
      <selection pane="bottomLeft"/>
      <selection pane="bottomRight" activeCell="E8" sqref="E8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1.625" customWidth="1"/>
    <col min="6" max="9" width="5.875" customWidth="1"/>
    <col min="10" max="10" width="7.125" customWidth="1"/>
    <col min="11" max="11" width="5.125" customWidth="1"/>
    <col min="12" max="18" width="6.375" customWidth="1"/>
    <col min="19" max="19" width="9.375" customWidth="1"/>
    <col min="20" max="21" width="5.125" customWidth="1"/>
    <col min="22" max="22" width="5.625" customWidth="1"/>
    <col min="23" max="23" width="5.125" customWidth="1"/>
    <col min="24" max="24" width="8.875" customWidth="1"/>
    <col min="25" max="25" width="19.625" customWidth="1"/>
    <col min="26" max="26" width="8.625" style="114" customWidth="1"/>
    <col min="27" max="27" width="9.625" style="113" customWidth="1"/>
    <col min="28" max="28" width="7.125" style="113" customWidth="1"/>
    <col min="29" max="29" width="8.125" style="113" customWidth="1"/>
    <col min="30" max="30" width="16.125" style="194" customWidth="1"/>
    <col min="31" max="31" width="17.125" style="255" customWidth="1"/>
    <col min="32" max="32" width="10" customWidth="1"/>
  </cols>
  <sheetData>
    <row r="1" ht="35.1" customHeight="1" spans="1:33">
      <c r="A1" s="298" t="s">
        <v>1590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59" t="s">
        <v>1</v>
      </c>
      <c r="AA1" s="312"/>
      <c r="AB1" s="260"/>
      <c r="AC1" s="200">
        <f ca="1">TODAY()</f>
        <v>46277</v>
      </c>
      <c r="AD1" s="201"/>
    </row>
    <row r="2" s="190" customFormat="1" ht="21.95" customHeight="1" spans="1:33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7" t="s">
        <v>13</v>
      </c>
      <c r="M2" s="188"/>
      <c r="N2" s="188"/>
      <c r="O2" s="188"/>
      <c r="P2" s="188"/>
      <c r="Q2" s="188"/>
      <c r="R2" s="189"/>
      <c r="S2" s="20" t="s">
        <v>14</v>
      </c>
      <c r="T2" s="22" t="s">
        <v>15</v>
      </c>
      <c r="U2" s="22" t="s">
        <v>16</v>
      </c>
      <c r="V2" s="22" t="s">
        <v>18</v>
      </c>
      <c r="W2" s="22" t="s">
        <v>19</v>
      </c>
      <c r="X2" s="22" t="s">
        <v>20</v>
      </c>
      <c r="Y2" s="261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05" t="s">
        <v>26</v>
      </c>
      <c r="AE2" s="159"/>
    </row>
    <row r="3" s="190" customFormat="1" ht="41.25" customHeight="1" spans="1:33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313" t="s">
        <v>27</v>
      </c>
      <c r="M3" s="313" t="s">
        <v>28</v>
      </c>
      <c r="N3" s="313" t="s">
        <v>1591</v>
      </c>
      <c r="O3" s="313" t="s">
        <v>1592</v>
      </c>
      <c r="P3" s="313" t="s">
        <v>1593</v>
      </c>
      <c r="Q3" s="313" t="s">
        <v>1594</v>
      </c>
      <c r="R3" s="313" t="s">
        <v>1595</v>
      </c>
      <c r="S3" s="31"/>
      <c r="T3" s="32"/>
      <c r="U3" s="32"/>
      <c r="V3" s="32"/>
      <c r="W3" s="32"/>
      <c r="X3" s="32"/>
      <c r="Y3" s="267"/>
      <c r="Z3" s="25"/>
      <c r="AA3" s="26"/>
      <c r="AB3" s="26"/>
      <c r="AC3" s="26"/>
      <c r="AD3" s="205"/>
      <c r="AE3" s="159" t="s">
        <v>65</v>
      </c>
      <c r="AF3" s="206" t="s">
        <v>1596</v>
      </c>
      <c r="AG3" s="206"/>
    </row>
    <row r="4" s="311" customFormat="1" ht="37.5" hidden="1" customHeight="1" spans="1:33">
      <c r="A4" s="208">
        <f t="shared" ref="A4:A9" si="0">ROW()-3</f>
        <v>1</v>
      </c>
      <c r="B4" s="48" t="s">
        <v>1597</v>
      </c>
      <c r="C4" s="49" t="s">
        <v>135</v>
      </c>
      <c r="D4" s="50" t="s">
        <v>1598</v>
      </c>
      <c r="E4" s="50" t="s">
        <v>1599</v>
      </c>
      <c r="F4" s="52">
        <v>46162</v>
      </c>
      <c r="G4" s="52">
        <v>46258</v>
      </c>
      <c r="H4" s="52">
        <v>46258</v>
      </c>
      <c r="I4" s="53">
        <v>46225</v>
      </c>
      <c r="J4" s="327">
        <v>24012</v>
      </c>
      <c r="K4" s="175">
        <v>36</v>
      </c>
      <c r="L4" s="703">
        <f t="shared" ref="L4:L7" si="1">J4/K4*8</f>
        <v>5336</v>
      </c>
      <c r="M4" s="703">
        <f t="shared" ref="M4:M7" si="2">J4/K4*4</f>
        <v>2668</v>
      </c>
      <c r="N4" s="703">
        <f t="shared" ref="N4:N7" si="3">J4/K4*4</f>
        <v>2668</v>
      </c>
      <c r="O4" s="703">
        <f t="shared" ref="O4:O7" si="4">J4/K4*8</f>
        <v>5336</v>
      </c>
      <c r="P4" s="703">
        <f t="shared" ref="P4:P7" si="5">J4/K4*8</f>
        <v>5336</v>
      </c>
      <c r="Q4" s="703">
        <f t="shared" ref="Q4:Q7" si="6">J4/K4*2</f>
        <v>1334</v>
      </c>
      <c r="R4" s="703">
        <f t="shared" ref="R4:R7" si="7">J4/K4*2</f>
        <v>1334</v>
      </c>
      <c r="S4" s="316" t="s">
        <v>1600</v>
      </c>
      <c r="T4" s="49" t="s">
        <v>81</v>
      </c>
      <c r="U4" s="305" t="s">
        <v>1601</v>
      </c>
      <c r="V4" s="48" t="s">
        <v>1602</v>
      </c>
      <c r="W4" s="48" t="s">
        <v>616</v>
      </c>
      <c r="X4" s="316" t="s">
        <v>1600</v>
      </c>
      <c r="Y4" s="48" t="s">
        <v>1603</v>
      </c>
      <c r="Z4" s="176">
        <v>46258</v>
      </c>
      <c r="AA4" s="317">
        <v>46261</v>
      </c>
      <c r="AB4" s="317" t="s">
        <v>1604</v>
      </c>
      <c r="AC4" s="211">
        <v>46276</v>
      </c>
      <c r="AD4" s="213" t="s">
        <v>1605</v>
      </c>
      <c r="AE4" s="159" t="s">
        <v>1606</v>
      </c>
      <c r="AF4" s="3" t="s">
        <v>1607</v>
      </c>
    </row>
    <row r="5" s="311" customFormat="1" ht="37.5" hidden="1" customHeight="1" spans="1:33">
      <c r="A5" s="215">
        <f t="shared" si="0"/>
        <v>2</v>
      </c>
      <c r="B5" s="183" t="s">
        <v>1597</v>
      </c>
      <c r="C5" s="96" t="s">
        <v>135</v>
      </c>
      <c r="D5" s="786" t="s">
        <v>575</v>
      </c>
      <c r="E5" s="293"/>
      <c r="F5" s="217">
        <v>46162</v>
      </c>
      <c r="G5" s="217">
        <v>46258</v>
      </c>
      <c r="H5" s="217"/>
      <c r="I5" s="218"/>
      <c r="J5" s="294">
        <v>36</v>
      </c>
      <c r="K5" s="95">
        <v>36</v>
      </c>
      <c r="L5" s="283">
        <f t="shared" si="1"/>
        <v>8</v>
      </c>
      <c r="M5" s="283">
        <f t="shared" si="2"/>
        <v>4</v>
      </c>
      <c r="N5" s="283">
        <f t="shared" si="3"/>
        <v>4</v>
      </c>
      <c r="O5" s="283">
        <f t="shared" si="4"/>
        <v>8</v>
      </c>
      <c r="P5" s="283">
        <f t="shared" si="5"/>
        <v>8</v>
      </c>
      <c r="Q5" s="283">
        <f t="shared" si="6"/>
        <v>2</v>
      </c>
      <c r="R5" s="283">
        <f t="shared" si="7"/>
        <v>2</v>
      </c>
      <c r="S5" s="278" t="s">
        <v>1600</v>
      </c>
      <c r="T5" s="96" t="s">
        <v>81</v>
      </c>
      <c r="U5" s="297"/>
      <c r="V5" s="183"/>
      <c r="W5" s="183"/>
      <c r="X5" s="320" t="s">
        <v>1600</v>
      </c>
      <c r="Y5" s="782" t="s">
        <v>1608</v>
      </c>
      <c r="Z5" s="280">
        <v>46249</v>
      </c>
      <c r="AA5" s="321"/>
      <c r="AB5" s="321"/>
      <c r="AC5" s="279">
        <v>46261</v>
      </c>
      <c r="AD5" s="224"/>
      <c r="AE5" s="159"/>
    </row>
    <row r="6" s="311" customFormat="1" ht="37.5" customHeight="1" spans="1:33">
      <c r="A6" s="215">
        <f t="shared" si="0"/>
        <v>3</v>
      </c>
      <c r="B6" s="730" t="s">
        <v>1597</v>
      </c>
      <c r="C6" s="731" t="s">
        <v>135</v>
      </c>
      <c r="D6" s="732"/>
      <c r="E6" s="732"/>
      <c r="F6" s="733">
        <v>46241</v>
      </c>
      <c r="G6" s="733">
        <v>46320</v>
      </c>
      <c r="H6" s="733">
        <v>46320</v>
      </c>
      <c r="I6" s="734"/>
      <c r="J6" s="924">
        <v>24012</v>
      </c>
      <c r="K6" s="735">
        <v>36</v>
      </c>
      <c r="L6" s="283">
        <f t="shared" si="1"/>
        <v>5336</v>
      </c>
      <c r="M6" s="283">
        <f t="shared" si="2"/>
        <v>2668</v>
      </c>
      <c r="N6" s="283">
        <f t="shared" si="3"/>
        <v>2668</v>
      </c>
      <c r="O6" s="283">
        <f t="shared" si="4"/>
        <v>5336</v>
      </c>
      <c r="P6" s="283">
        <f t="shared" si="5"/>
        <v>5336</v>
      </c>
      <c r="Q6" s="283">
        <f t="shared" si="6"/>
        <v>1334</v>
      </c>
      <c r="R6" s="283">
        <f t="shared" si="7"/>
        <v>1334</v>
      </c>
      <c r="S6" s="278" t="s">
        <v>784</v>
      </c>
      <c r="T6" s="96" t="s">
        <v>81</v>
      </c>
      <c r="U6" s="297"/>
      <c r="V6" s="183" t="s">
        <v>1609</v>
      </c>
      <c r="W6" s="183"/>
      <c r="X6" s="320" t="s">
        <v>784</v>
      </c>
      <c r="Y6" s="183" t="s">
        <v>1603</v>
      </c>
      <c r="Z6" s="280">
        <v>46320</v>
      </c>
      <c r="AA6" s="321"/>
      <c r="AB6" s="321"/>
      <c r="AC6" s="279"/>
      <c r="AD6" s="224"/>
      <c r="AE6" s="159" t="s">
        <v>1606</v>
      </c>
      <c r="AF6" s="3" t="s">
        <v>1610</v>
      </c>
    </row>
    <row r="7" s="311" customFormat="1" ht="37.5" customHeight="1" spans="1:33">
      <c r="A7" s="215">
        <f t="shared" si="0"/>
        <v>4</v>
      </c>
      <c r="B7" s="730" t="s">
        <v>1597</v>
      </c>
      <c r="C7" s="731" t="s">
        <v>325</v>
      </c>
      <c r="D7" s="732"/>
      <c r="E7" s="732"/>
      <c r="F7" s="733">
        <v>46251</v>
      </c>
      <c r="G7" s="733">
        <v>46332</v>
      </c>
      <c r="H7" s="733">
        <v>46332</v>
      </c>
      <c r="I7" s="734"/>
      <c r="J7" s="924">
        <v>24012</v>
      </c>
      <c r="K7" s="735">
        <v>36</v>
      </c>
      <c r="L7" s="283">
        <f t="shared" si="1"/>
        <v>5336</v>
      </c>
      <c r="M7" s="283">
        <f t="shared" si="2"/>
        <v>2668</v>
      </c>
      <c r="N7" s="283">
        <f t="shared" si="3"/>
        <v>2668</v>
      </c>
      <c r="O7" s="283">
        <f t="shared" si="4"/>
        <v>5336</v>
      </c>
      <c r="P7" s="283">
        <f t="shared" si="5"/>
        <v>5336</v>
      </c>
      <c r="Q7" s="283">
        <f t="shared" si="6"/>
        <v>1334</v>
      </c>
      <c r="R7" s="283">
        <f t="shared" si="7"/>
        <v>1334</v>
      </c>
      <c r="S7" s="278" t="s">
        <v>784</v>
      </c>
      <c r="T7" s="96" t="s">
        <v>81</v>
      </c>
      <c r="U7" s="96"/>
      <c r="V7" s="183" t="s">
        <v>1609</v>
      </c>
      <c r="W7" s="183"/>
      <c r="X7" s="320" t="s">
        <v>784</v>
      </c>
      <c r="Y7" s="183" t="s">
        <v>1603</v>
      </c>
      <c r="Z7" s="280">
        <v>46332</v>
      </c>
      <c r="AA7" s="279"/>
      <c r="AB7" s="321"/>
      <c r="AC7" s="279"/>
      <c r="AD7" s="224"/>
      <c r="AE7" s="159" t="s">
        <v>1606</v>
      </c>
      <c r="AF7" s="3" t="s">
        <v>1610</v>
      </c>
    </row>
    <row r="8" s="311" customFormat="1" ht="37.5" customHeight="1" spans="1:33">
      <c r="A8" s="215">
        <f t="shared" si="0"/>
        <v>5</v>
      </c>
      <c r="B8" s="183"/>
      <c r="C8" s="96"/>
      <c r="D8" s="216"/>
      <c r="E8" s="216"/>
      <c r="F8" s="217"/>
      <c r="G8" s="217"/>
      <c r="H8" s="217"/>
      <c r="I8" s="218"/>
      <c r="J8" s="294"/>
      <c r="K8" s="95"/>
      <c r="L8" s="283"/>
      <c r="M8" s="283"/>
      <c r="N8" s="283"/>
      <c r="O8" s="283"/>
      <c r="P8" s="283"/>
      <c r="Q8" s="283"/>
      <c r="R8" s="283"/>
      <c r="S8" s="745"/>
      <c r="T8" s="96"/>
      <c r="U8" s="96"/>
      <c r="V8" s="96"/>
      <c r="W8" s="183"/>
      <c r="X8" s="729"/>
      <c r="Y8" s="183"/>
      <c r="Z8" s="280"/>
      <c r="AA8" s="279"/>
      <c r="AB8" s="321"/>
      <c r="AC8" s="279"/>
      <c r="AD8" s="224"/>
      <c r="AE8" s="159"/>
    </row>
    <row r="9" s="311" customFormat="1" ht="37.5" customHeight="1" spans="1:33">
      <c r="A9" s="215">
        <f t="shared" si="0"/>
        <v>6</v>
      </c>
      <c r="B9" s="183"/>
      <c r="C9" s="96"/>
      <c r="D9" s="216"/>
      <c r="E9" s="216"/>
      <c r="F9" s="217"/>
      <c r="G9" s="217"/>
      <c r="H9" s="217"/>
      <c r="I9" s="218"/>
      <c r="J9" s="294"/>
      <c r="K9" s="95"/>
      <c r="L9" s="283"/>
      <c r="M9" s="283"/>
      <c r="N9" s="283"/>
      <c r="O9" s="283"/>
      <c r="P9" s="283"/>
      <c r="Q9" s="283"/>
      <c r="R9" s="283"/>
      <c r="S9" s="278"/>
      <c r="T9" s="96"/>
      <c r="U9" s="297"/>
      <c r="V9" s="183"/>
      <c r="W9" s="183"/>
      <c r="X9" s="320"/>
      <c r="Y9" s="183"/>
      <c r="Z9" s="280"/>
      <c r="AA9" s="279"/>
      <c r="AB9" s="321"/>
      <c r="AC9" s="279"/>
      <c r="AD9" s="224"/>
      <c r="AE9" s="159"/>
    </row>
    <row r="10" s="3" customFormat="1" ht="27" customHeight="1" spans="1:33">
      <c r="A10" s="215"/>
      <c r="B10" s="183"/>
      <c r="C10" s="96"/>
      <c r="D10" s="216"/>
      <c r="E10" s="216"/>
      <c r="F10" s="217"/>
      <c r="G10" s="217"/>
      <c r="H10" s="217"/>
      <c r="I10" s="218"/>
      <c r="J10" s="95"/>
      <c r="K10" s="95"/>
      <c r="L10" s="283"/>
      <c r="M10" s="283"/>
      <c r="N10" s="283"/>
      <c r="O10" s="283"/>
      <c r="P10" s="283"/>
      <c r="Q10" s="283"/>
      <c r="R10" s="283"/>
      <c r="S10" s="278"/>
      <c r="T10" s="96"/>
      <c r="U10" s="279"/>
      <c r="V10" s="279"/>
      <c r="W10" s="183"/>
      <c r="X10" s="183"/>
      <c r="Y10" s="183"/>
      <c r="Z10" s="280"/>
      <c r="AA10" s="222"/>
      <c r="AB10" s="97"/>
      <c r="AC10" s="97"/>
      <c r="AD10" s="224"/>
    </row>
    <row r="11" s="3" customFormat="1" ht="17.1" customHeight="1" spans="1:33">
      <c r="A11" s="93" t="s">
        <v>66</v>
      </c>
      <c r="B11" s="94"/>
      <c r="C11" s="94"/>
      <c r="D11" s="94"/>
      <c r="E11" s="94"/>
      <c r="F11" s="94"/>
      <c r="G11" s="94"/>
      <c r="H11" s="94"/>
      <c r="I11" s="94"/>
      <c r="J11" s="95">
        <f t="shared" ref="J11:R11" si="8">SUM(J4:J10)</f>
        <v>72072</v>
      </c>
      <c r="K11" s="95"/>
      <c r="L11" s="95">
        <f t="shared" si="8"/>
        <v>16016</v>
      </c>
      <c r="M11" s="95">
        <f t="shared" si="8"/>
        <v>8008</v>
      </c>
      <c r="N11" s="95">
        <f t="shared" si="8"/>
        <v>8008</v>
      </c>
      <c r="O11" s="95">
        <f t="shared" si="8"/>
        <v>16016</v>
      </c>
      <c r="P11" s="95">
        <f t="shared" si="8"/>
        <v>16016</v>
      </c>
      <c r="Q11" s="95">
        <f t="shared" si="8"/>
        <v>4004</v>
      </c>
      <c r="R11" s="95">
        <f t="shared" si="8"/>
        <v>4004</v>
      </c>
      <c r="S11" s="96"/>
      <c r="T11" s="96"/>
      <c r="U11" s="96"/>
      <c r="V11" s="96"/>
      <c r="W11" s="96"/>
      <c r="X11" s="96"/>
      <c r="Y11" s="96"/>
      <c r="Z11" s="97"/>
      <c r="AA11" s="97"/>
      <c r="AB11" s="97"/>
      <c r="AC11" s="97"/>
      <c r="AD11" s="239"/>
    </row>
    <row r="12" s="4" customFormat="1" ht="17.1" customHeight="1" spans="1:33">
      <c r="A12" s="99"/>
      <c r="B12" s="100"/>
      <c r="C12" s="100"/>
      <c r="D12" s="100"/>
      <c r="E12" s="100"/>
      <c r="F12" s="100"/>
      <c r="G12" s="100"/>
      <c r="H12" s="100"/>
      <c r="I12" s="100"/>
      <c r="J12" s="133">
        <f>SUM(L12:R12)</f>
        <v>72072</v>
      </c>
      <c r="K12" s="100"/>
      <c r="L12" s="100">
        <f>5336+10680</f>
        <v>16016</v>
      </c>
      <c r="M12" s="100">
        <f>2668+5340</f>
        <v>8008</v>
      </c>
      <c r="N12" s="100">
        <f>2668+5340</f>
        <v>8008</v>
      </c>
      <c r="O12" s="100">
        <f>5336+10680</f>
        <v>16016</v>
      </c>
      <c r="P12" s="100">
        <f>5336+10680</f>
        <v>16016</v>
      </c>
      <c r="Q12" s="100">
        <f>1334+2670</f>
        <v>4004</v>
      </c>
      <c r="R12" s="100">
        <f>1334+2670</f>
        <v>4004</v>
      </c>
      <c r="S12" s="100"/>
      <c r="T12" s="100"/>
      <c r="U12" s="100"/>
      <c r="V12" s="100"/>
      <c r="W12" s="100"/>
      <c r="X12" s="100"/>
      <c r="Y12" s="100"/>
      <c r="Z12" s="101"/>
      <c r="AA12" s="101"/>
      <c r="AB12" s="101"/>
      <c r="AC12" s="101"/>
      <c r="AD12" s="240"/>
    </row>
    <row r="13" s="4" customFormat="1" ht="17.1" customHeight="1" spans="1:33">
      <c r="A13" s="241" t="s">
        <v>67</v>
      </c>
      <c r="B13" s="242"/>
      <c r="C13" s="242"/>
      <c r="D13" s="242"/>
      <c r="E13" s="242"/>
      <c r="F13" s="242"/>
      <c r="G13" s="242"/>
      <c r="H13" s="242"/>
      <c r="I13" s="243"/>
      <c r="J13" s="244">
        <f>SUM(L13:R13)</f>
        <v>0</v>
      </c>
      <c r="K13" s="245"/>
      <c r="L13" s="106">
        <f t="shared" ref="L13:R13" si="9">L12-L11</f>
        <v>0</v>
      </c>
      <c r="M13" s="106">
        <f t="shared" si="9"/>
        <v>0</v>
      </c>
      <c r="N13" s="106">
        <f t="shared" si="9"/>
        <v>0</v>
      </c>
      <c r="O13" s="106">
        <f t="shared" si="9"/>
        <v>0</v>
      </c>
      <c r="P13" s="106">
        <f t="shared" si="9"/>
        <v>0</v>
      </c>
      <c r="Q13" s="106">
        <f t="shared" si="9"/>
        <v>0</v>
      </c>
      <c r="R13" s="106">
        <f t="shared" si="9"/>
        <v>0</v>
      </c>
      <c r="S13" s="107"/>
      <c r="T13" s="107"/>
      <c r="U13" s="107"/>
      <c r="V13" s="107"/>
      <c r="W13" s="107"/>
      <c r="X13" s="107"/>
      <c r="Y13" s="107"/>
      <c r="Z13" s="108"/>
      <c r="AA13" s="108"/>
      <c r="AB13" s="108"/>
      <c r="AC13" s="108"/>
      <c r="AD13" s="246"/>
    </row>
    <row r="14" spans="1:33">
      <c r="B14" s="110" t="s">
        <v>68</v>
      </c>
      <c r="C14" s="110"/>
      <c r="D14" s="111"/>
      <c r="E14" s="111"/>
      <c r="F14" s="111"/>
      <c r="G14" s="111"/>
      <c r="H14" s="111" t="s">
        <v>377</v>
      </c>
      <c r="I14" s="111"/>
      <c r="J14" s="285"/>
    </row>
    <row r="17" spans="2:2">
      <c r="B17" s="286"/>
    </row>
    <row r="18" spans="2:2">
      <c r="B18" s="286"/>
    </row>
    <row r="19" spans="2:2">
      <c r="B19" s="286"/>
    </row>
    <row r="20" spans="2:2">
      <c r="B20" s="286"/>
    </row>
  </sheetData>
  <autoFilter xmlns:etc="http://www.wps.cn/officeDocument/2017/etCustomData" ref="A3:AG9" etc:filterBottomFollowUsedRange="0">
    <filterColumn colId="28">
      <filters blank="1"/>
    </filterColumn>
    <extLst/>
  </autoFilter>
  <mergeCells count="30">
    <mergeCell ref="A1:Y1"/>
    <mergeCell ref="Z1:AB1"/>
    <mergeCell ref="AC1:AD1"/>
    <mergeCell ref="L2:R2"/>
    <mergeCell ref="A11:I11"/>
    <mergeCell ref="A12:I12"/>
    <mergeCell ref="A13:I1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13:R13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58" fitToHeight="2" orientation="landscape" horizontalDpi="1200" verticalDpi="1200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8" tint="0.599993896298105"/>
    <pageSetUpPr fitToPage="1"/>
  </sheetPr>
  <dimension ref="A1:AK28"/>
  <sheetViews>
    <sheetView workbookViewId="0">
      <pane xSplit="11" ySplit="3" topLeftCell="Q4" activePane="bottomRight" state="frozen"/>
      <selection/>
      <selection pane="topRight"/>
      <selection pane="bottomLeft"/>
      <selection pane="bottomRight" activeCell="AF15" sqref="AF15"/>
    </sheetView>
  </sheetViews>
  <sheetFormatPr defaultColWidth="9" defaultRowHeight="14.25"/>
  <cols>
    <col min="1" max="1" width="3.125" customWidth="1"/>
    <col min="2" max="2" width="9.125" customWidth="1"/>
    <col min="3" max="3" width="6.625" customWidth="1"/>
    <col min="4" max="4" width="11.125" customWidth="1"/>
    <col min="5" max="5" width="9.875" customWidth="1"/>
    <col min="6" max="9" width="5.125" customWidth="1"/>
    <col min="10" max="10" width="8.625" customWidth="1"/>
    <col min="11" max="11" width="5.125" customWidth="1"/>
    <col min="12" max="23" width="5.875" customWidth="1"/>
    <col min="24" max="24" width="9.625" customWidth="1"/>
    <col min="25" max="25" width="5.125" customWidth="1"/>
    <col min="26" max="28" width="5.375" customWidth="1"/>
    <col min="29" max="29" width="8" customWidth="1"/>
    <col min="30" max="30" width="23" customWidth="1"/>
    <col min="31" max="31" width="8" style="114" customWidth="1"/>
    <col min="32" max="32" width="10.625" style="113" customWidth="1"/>
    <col min="33" max="33" width="7.125" style="113" customWidth="1"/>
    <col min="34" max="34" width="8.875" style="113" customWidth="1"/>
    <col min="35" max="35" width="17" style="194" customWidth="1"/>
    <col min="36" max="36" width="17.125" style="255" customWidth="1"/>
  </cols>
  <sheetData>
    <row r="1" ht="35.1" customHeight="1" spans="1:37">
      <c r="A1" s="298" t="s">
        <v>1611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59" t="s">
        <v>1</v>
      </c>
      <c r="AF1" s="312"/>
      <c r="AG1" s="260"/>
      <c r="AH1" s="200">
        <f ca="1">TODAY()</f>
        <v>46277</v>
      </c>
      <c r="AI1" s="201"/>
    </row>
    <row r="2" s="190" customFormat="1" ht="21.95" customHeight="1" spans="1:37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7" t="s">
        <v>13</v>
      </c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20" t="s">
        <v>14</v>
      </c>
      <c r="Y2" s="22" t="s">
        <v>177</v>
      </c>
      <c r="Z2" s="22" t="s">
        <v>1612</v>
      </c>
      <c r="AA2" s="22" t="s">
        <v>1613</v>
      </c>
      <c r="AB2" s="22" t="s">
        <v>19</v>
      </c>
      <c r="AC2" s="22" t="s">
        <v>20</v>
      </c>
      <c r="AD2" s="261" t="s">
        <v>21</v>
      </c>
      <c r="AE2" s="25" t="s">
        <v>22</v>
      </c>
      <c r="AF2" s="26" t="s">
        <v>23</v>
      </c>
      <c r="AG2" s="26" t="s">
        <v>24</v>
      </c>
      <c r="AH2" s="26" t="s">
        <v>25</v>
      </c>
      <c r="AI2" s="205" t="s">
        <v>26</v>
      </c>
      <c r="AJ2" s="159" t="s">
        <v>65</v>
      </c>
    </row>
    <row r="3" s="190" customFormat="1" ht="36.75" customHeight="1" spans="1:37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3" t="s">
        <v>1614</v>
      </c>
      <c r="M3" s="263" t="s">
        <v>1615</v>
      </c>
      <c r="N3" s="263" t="s">
        <v>1616</v>
      </c>
      <c r="O3" s="263" t="s">
        <v>1617</v>
      </c>
      <c r="P3" s="263" t="s">
        <v>1564</v>
      </c>
      <c r="Q3" s="263" t="s">
        <v>1618</v>
      </c>
      <c r="R3" s="263" t="s">
        <v>1619</v>
      </c>
      <c r="S3" s="263" t="s">
        <v>1620</v>
      </c>
      <c r="T3" s="263" t="s">
        <v>1621</v>
      </c>
      <c r="U3" s="263" t="s">
        <v>1622</v>
      </c>
      <c r="V3" s="263" t="s">
        <v>1623</v>
      </c>
      <c r="W3" s="263" t="s">
        <v>1624</v>
      </c>
      <c r="X3" s="31"/>
      <c r="Y3" s="32"/>
      <c r="Z3" s="32"/>
      <c r="AA3" s="32"/>
      <c r="AB3" s="32"/>
      <c r="AC3" s="32"/>
      <c r="AD3" s="267"/>
      <c r="AE3" s="25"/>
      <c r="AF3" s="26"/>
      <c r="AG3" s="26"/>
      <c r="AH3" s="26"/>
      <c r="AI3" s="205"/>
      <c r="AJ3" s="159"/>
    </row>
    <row r="4" s="311" customFormat="1" ht="36" hidden="1" customHeight="1" spans="1:37">
      <c r="A4" s="208">
        <f>ROW()-3</f>
        <v>1</v>
      </c>
      <c r="B4" s="48" t="s">
        <v>1625</v>
      </c>
      <c r="C4" s="49" t="s">
        <v>77</v>
      </c>
      <c r="D4" s="51" t="s">
        <v>1626</v>
      </c>
      <c r="E4" s="51" t="s">
        <v>1627</v>
      </c>
      <c r="F4" s="52">
        <v>46126</v>
      </c>
      <c r="G4" s="52">
        <v>46192</v>
      </c>
      <c r="H4" s="52">
        <v>46192</v>
      </c>
      <c r="I4" s="53">
        <v>46156</v>
      </c>
      <c r="J4" s="771">
        <f>SUBTOTAL(9,L4:W4)</f>
        <v>0</v>
      </c>
      <c r="K4" s="175">
        <v>48</v>
      </c>
      <c r="L4" s="175">
        <v>2304</v>
      </c>
      <c r="M4" s="175">
        <v>2304</v>
      </c>
      <c r="N4" s="175">
        <v>2304</v>
      </c>
      <c r="O4" s="175">
        <v>2304</v>
      </c>
      <c r="P4" s="175">
        <v>2304</v>
      </c>
      <c r="Q4" s="175">
        <v>2304</v>
      </c>
      <c r="R4" s="175">
        <v>2304</v>
      </c>
      <c r="S4" s="175">
        <v>2304</v>
      </c>
      <c r="T4" s="175">
        <v>2304</v>
      </c>
      <c r="U4" s="175">
        <v>2304</v>
      </c>
      <c r="V4" s="175">
        <v>2304</v>
      </c>
      <c r="W4" s="175">
        <v>2304</v>
      </c>
      <c r="X4" s="624" t="s">
        <v>1628</v>
      </c>
      <c r="Y4" s="214" t="s">
        <v>81</v>
      </c>
      <c r="Z4" s="49" t="s">
        <v>1629</v>
      </c>
      <c r="AA4" s="48" t="s">
        <v>1630</v>
      </c>
      <c r="AB4" s="48" t="s">
        <v>1629</v>
      </c>
      <c r="AC4" s="624" t="s">
        <v>1628</v>
      </c>
      <c r="AD4" s="48" t="s">
        <v>1631</v>
      </c>
      <c r="AE4" s="176">
        <v>46192</v>
      </c>
      <c r="AF4" s="211" t="s">
        <v>1632</v>
      </c>
      <c r="AG4" s="211"/>
      <c r="AH4" s="211">
        <v>46194</v>
      </c>
      <c r="AI4" s="213" t="s">
        <v>1633</v>
      </c>
      <c r="AJ4" s="159" t="s">
        <v>1634</v>
      </c>
      <c r="AK4" s="3" t="s">
        <v>1607</v>
      </c>
    </row>
    <row r="5" s="311" customFormat="1" ht="36" hidden="1" customHeight="1" spans="1:37">
      <c r="A5" s="208">
        <f>ROW()-3</f>
        <v>2</v>
      </c>
      <c r="B5" s="48" t="s">
        <v>1625</v>
      </c>
      <c r="C5" s="49" t="s">
        <v>77</v>
      </c>
      <c r="D5" s="51" t="s">
        <v>1635</v>
      </c>
      <c r="E5" s="51" t="s">
        <v>1636</v>
      </c>
      <c r="F5" s="52">
        <v>46126</v>
      </c>
      <c r="G5" s="52">
        <v>46192</v>
      </c>
      <c r="H5" s="52">
        <v>46192</v>
      </c>
      <c r="I5" s="53">
        <v>46156</v>
      </c>
      <c r="J5" s="771">
        <f>SUBTOTAL(9,L5:W5)</f>
        <v>0</v>
      </c>
      <c r="K5" s="175">
        <v>48</v>
      </c>
      <c r="L5" s="175">
        <v>2496</v>
      </c>
      <c r="M5" s="175">
        <v>2496</v>
      </c>
      <c r="N5" s="175">
        <v>2496</v>
      </c>
      <c r="O5" s="175">
        <v>2496</v>
      </c>
      <c r="P5" s="175">
        <v>2496</v>
      </c>
      <c r="Q5" s="175">
        <v>2496</v>
      </c>
      <c r="R5" s="175">
        <v>2496</v>
      </c>
      <c r="S5" s="175">
        <v>2496</v>
      </c>
      <c r="T5" s="175">
        <v>2496</v>
      </c>
      <c r="U5" s="175">
        <v>2496</v>
      </c>
      <c r="V5" s="175">
        <v>2496</v>
      </c>
      <c r="W5" s="175">
        <v>2496</v>
      </c>
      <c r="X5" s="624" t="s">
        <v>1628</v>
      </c>
      <c r="Y5" s="214" t="s">
        <v>81</v>
      </c>
      <c r="Z5" s="49" t="s">
        <v>1629</v>
      </c>
      <c r="AA5" s="48" t="s">
        <v>1630</v>
      </c>
      <c r="AB5" s="48" t="s">
        <v>1629</v>
      </c>
      <c r="AC5" s="624" t="s">
        <v>1628</v>
      </c>
      <c r="AD5" s="48" t="s">
        <v>1631</v>
      </c>
      <c r="AE5" s="176">
        <v>46192</v>
      </c>
      <c r="AF5" s="211">
        <v>46191</v>
      </c>
      <c r="AG5" s="211"/>
      <c r="AH5" s="211">
        <v>46194</v>
      </c>
      <c r="AI5" s="213" t="s">
        <v>1637</v>
      </c>
      <c r="AJ5" s="159" t="s">
        <v>1634</v>
      </c>
      <c r="AK5" s="3" t="s">
        <v>1607</v>
      </c>
    </row>
    <row r="6" s="311" customFormat="1" ht="36" hidden="1" customHeight="1" spans="1:37">
      <c r="A6" s="208">
        <f t="shared" ref="A6:A12" si="0">ROW()-3</f>
        <v>3</v>
      </c>
      <c r="B6" s="48" t="s">
        <v>1625</v>
      </c>
      <c r="C6" s="49" t="s">
        <v>77</v>
      </c>
      <c r="D6" s="51" t="s">
        <v>1638</v>
      </c>
      <c r="E6" s="51" t="s">
        <v>1639</v>
      </c>
      <c r="F6" s="52">
        <v>46126</v>
      </c>
      <c r="G6" s="52">
        <v>46199</v>
      </c>
      <c r="H6" s="52">
        <v>46199</v>
      </c>
      <c r="I6" s="53">
        <v>46164</v>
      </c>
      <c r="J6" s="771">
        <f t="shared" ref="J6:J15" si="1">SUM(L6:W6)</f>
        <v>29952</v>
      </c>
      <c r="K6" s="175">
        <v>48</v>
      </c>
      <c r="L6" s="175">
        <v>2496</v>
      </c>
      <c r="M6" s="175">
        <v>2496</v>
      </c>
      <c r="N6" s="175">
        <v>2496</v>
      </c>
      <c r="O6" s="175">
        <v>2496</v>
      </c>
      <c r="P6" s="175">
        <v>2496</v>
      </c>
      <c r="Q6" s="175">
        <v>2496</v>
      </c>
      <c r="R6" s="175">
        <v>2496</v>
      </c>
      <c r="S6" s="175">
        <v>2496</v>
      </c>
      <c r="T6" s="175">
        <v>2496</v>
      </c>
      <c r="U6" s="175">
        <v>2496</v>
      </c>
      <c r="V6" s="175">
        <v>2496</v>
      </c>
      <c r="W6" s="175">
        <v>2496</v>
      </c>
      <c r="X6" s="624" t="s">
        <v>1628</v>
      </c>
      <c r="Y6" s="214" t="s">
        <v>81</v>
      </c>
      <c r="Z6" s="49" t="s">
        <v>1629</v>
      </c>
      <c r="AA6" s="48" t="s">
        <v>1630</v>
      </c>
      <c r="AB6" s="48" t="s">
        <v>390</v>
      </c>
      <c r="AC6" s="624" t="s">
        <v>1628</v>
      </c>
      <c r="AD6" s="48" t="s">
        <v>1631</v>
      </c>
      <c r="AE6" s="176">
        <v>46199</v>
      </c>
      <c r="AF6" s="211">
        <v>46197</v>
      </c>
      <c r="AG6" s="211"/>
      <c r="AH6" s="211">
        <v>46209</v>
      </c>
      <c r="AI6" s="213" t="s">
        <v>1640</v>
      </c>
      <c r="AJ6" s="159" t="s">
        <v>1634</v>
      </c>
      <c r="AK6" s="3" t="s">
        <v>1607</v>
      </c>
    </row>
    <row r="7" s="311" customFormat="1" ht="36" hidden="1" customHeight="1" spans="1:37">
      <c r="A7" s="208">
        <f t="shared" si="0"/>
        <v>4</v>
      </c>
      <c r="B7" s="48" t="s">
        <v>1625</v>
      </c>
      <c r="C7" s="49" t="s">
        <v>77</v>
      </c>
      <c r="D7" s="51" t="s">
        <v>1641</v>
      </c>
      <c r="E7" s="51" t="s">
        <v>1642</v>
      </c>
      <c r="F7" s="52">
        <v>46126</v>
      </c>
      <c r="G7" s="52">
        <v>46199</v>
      </c>
      <c r="H7" s="52">
        <v>46199</v>
      </c>
      <c r="I7" s="53">
        <v>46164</v>
      </c>
      <c r="J7" s="771">
        <f t="shared" si="1"/>
        <v>27648</v>
      </c>
      <c r="K7" s="175">
        <v>48</v>
      </c>
      <c r="L7" s="175">
        <v>2304</v>
      </c>
      <c r="M7" s="175">
        <v>2304</v>
      </c>
      <c r="N7" s="175">
        <v>2304</v>
      </c>
      <c r="O7" s="175">
        <v>2304</v>
      </c>
      <c r="P7" s="175">
        <v>2304</v>
      </c>
      <c r="Q7" s="175">
        <v>2304</v>
      </c>
      <c r="R7" s="175">
        <v>2304</v>
      </c>
      <c r="S7" s="175">
        <v>2304</v>
      </c>
      <c r="T7" s="175">
        <v>2304</v>
      </c>
      <c r="U7" s="175">
        <v>2304</v>
      </c>
      <c r="V7" s="175">
        <v>2304</v>
      </c>
      <c r="W7" s="175">
        <v>2304</v>
      </c>
      <c r="X7" s="624" t="s">
        <v>1628</v>
      </c>
      <c r="Y7" s="214" t="s">
        <v>81</v>
      </c>
      <c r="Z7" s="49" t="s">
        <v>1629</v>
      </c>
      <c r="AA7" s="48" t="s">
        <v>1630</v>
      </c>
      <c r="AB7" s="48" t="s">
        <v>390</v>
      </c>
      <c r="AC7" s="624" t="s">
        <v>1628</v>
      </c>
      <c r="AD7" s="48" t="s">
        <v>1631</v>
      </c>
      <c r="AE7" s="176">
        <v>46199</v>
      </c>
      <c r="AF7" s="211">
        <v>46197</v>
      </c>
      <c r="AG7" s="921"/>
      <c r="AH7" s="211">
        <v>46209</v>
      </c>
      <c r="AI7" s="213" t="s">
        <v>1643</v>
      </c>
      <c r="AJ7" s="159" t="s">
        <v>1634</v>
      </c>
      <c r="AK7" s="3" t="s">
        <v>1607</v>
      </c>
    </row>
    <row r="8" s="311" customFormat="1" ht="36" hidden="1" customHeight="1" spans="1:37">
      <c r="A8" s="208">
        <f t="shared" si="0"/>
        <v>5</v>
      </c>
      <c r="B8" s="48" t="s">
        <v>1644</v>
      </c>
      <c r="C8" s="49" t="s">
        <v>77</v>
      </c>
      <c r="D8" s="51" t="s">
        <v>1645</v>
      </c>
      <c r="E8" s="51" t="s">
        <v>1646</v>
      </c>
      <c r="F8" s="52">
        <v>46141</v>
      </c>
      <c r="G8" s="52">
        <v>46225</v>
      </c>
      <c r="H8" s="52">
        <v>46225</v>
      </c>
      <c r="I8" s="53">
        <v>46177</v>
      </c>
      <c r="J8" s="771">
        <f t="shared" si="1"/>
        <v>10800</v>
      </c>
      <c r="K8" s="175">
        <v>48</v>
      </c>
      <c r="L8" s="175">
        <v>900</v>
      </c>
      <c r="M8" s="175">
        <v>900</v>
      </c>
      <c r="N8" s="175">
        <v>900</v>
      </c>
      <c r="O8" s="175">
        <v>900</v>
      </c>
      <c r="P8" s="175">
        <v>900</v>
      </c>
      <c r="Q8" s="175">
        <v>900</v>
      </c>
      <c r="R8" s="175">
        <v>900</v>
      </c>
      <c r="S8" s="175">
        <v>900</v>
      </c>
      <c r="T8" s="175">
        <v>900</v>
      </c>
      <c r="U8" s="175">
        <v>900</v>
      </c>
      <c r="V8" s="175">
        <v>900</v>
      </c>
      <c r="W8" s="175">
        <v>900</v>
      </c>
      <c r="X8" s="624" t="s">
        <v>1628</v>
      </c>
      <c r="Y8" s="49" t="s">
        <v>81</v>
      </c>
      <c r="Z8" s="49" t="s">
        <v>1629</v>
      </c>
      <c r="AA8" s="48" t="s">
        <v>1647</v>
      </c>
      <c r="AB8" s="48" t="s">
        <v>1206</v>
      </c>
      <c r="AC8" s="624" t="s">
        <v>1628</v>
      </c>
      <c r="AD8" s="48" t="s">
        <v>1631</v>
      </c>
      <c r="AE8" s="176">
        <v>46225</v>
      </c>
      <c r="AF8" s="211">
        <v>46224</v>
      </c>
      <c r="AG8" s="211"/>
      <c r="AH8" s="211">
        <v>46247</v>
      </c>
      <c r="AI8" s="213" t="s">
        <v>1648</v>
      </c>
      <c r="AJ8" s="159" t="s">
        <v>1634</v>
      </c>
      <c r="AK8" s="3" t="s">
        <v>1607</v>
      </c>
    </row>
    <row r="9" s="311" customFormat="1" ht="36" hidden="1" customHeight="1" spans="1:37">
      <c r="A9" s="208">
        <f t="shared" si="0"/>
        <v>6</v>
      </c>
      <c r="B9" s="48" t="s">
        <v>1644</v>
      </c>
      <c r="C9" s="49" t="s">
        <v>77</v>
      </c>
      <c r="D9" s="51" t="s">
        <v>1649</v>
      </c>
      <c r="E9" s="51" t="s">
        <v>1650</v>
      </c>
      <c r="F9" s="52">
        <v>46141</v>
      </c>
      <c r="G9" s="52">
        <v>46225</v>
      </c>
      <c r="H9" s="52">
        <v>46225</v>
      </c>
      <c r="I9" s="53">
        <v>46177</v>
      </c>
      <c r="J9" s="771">
        <f t="shared" si="1"/>
        <v>3600</v>
      </c>
      <c r="K9" s="175">
        <v>48</v>
      </c>
      <c r="L9" s="175">
        <v>300</v>
      </c>
      <c r="M9" s="175">
        <v>300</v>
      </c>
      <c r="N9" s="175">
        <v>300</v>
      </c>
      <c r="O9" s="175">
        <v>300</v>
      </c>
      <c r="P9" s="175">
        <v>300</v>
      </c>
      <c r="Q9" s="175">
        <v>300</v>
      </c>
      <c r="R9" s="175">
        <v>300</v>
      </c>
      <c r="S9" s="175">
        <v>300</v>
      </c>
      <c r="T9" s="175">
        <v>300</v>
      </c>
      <c r="U9" s="175">
        <v>300</v>
      </c>
      <c r="V9" s="175">
        <v>300</v>
      </c>
      <c r="W9" s="175">
        <v>300</v>
      </c>
      <c r="X9" s="624" t="s">
        <v>1628</v>
      </c>
      <c r="Y9" s="49" t="s">
        <v>81</v>
      </c>
      <c r="Z9" s="49" t="s">
        <v>1629</v>
      </c>
      <c r="AA9" s="48" t="s">
        <v>1647</v>
      </c>
      <c r="AB9" s="48" t="s">
        <v>1206</v>
      </c>
      <c r="AC9" s="624" t="s">
        <v>1628</v>
      </c>
      <c r="AD9" s="48" t="s">
        <v>1631</v>
      </c>
      <c r="AE9" s="176">
        <v>46225</v>
      </c>
      <c r="AF9" s="211">
        <v>46224</v>
      </c>
      <c r="AG9" s="211"/>
      <c r="AH9" s="211">
        <v>46247</v>
      </c>
      <c r="AI9" s="213" t="s">
        <v>1651</v>
      </c>
      <c r="AJ9" s="159" t="s">
        <v>1634</v>
      </c>
      <c r="AK9" s="3" t="s">
        <v>1607</v>
      </c>
    </row>
    <row r="10" s="311" customFormat="1" ht="36" hidden="1" customHeight="1" spans="1:37">
      <c r="A10" s="208">
        <f t="shared" si="0"/>
        <v>7</v>
      </c>
      <c r="B10" s="48" t="s">
        <v>1652</v>
      </c>
      <c r="C10" s="49" t="s">
        <v>77</v>
      </c>
      <c r="D10" s="51" t="s">
        <v>1653</v>
      </c>
      <c r="E10" s="51" t="s">
        <v>1654</v>
      </c>
      <c r="F10" s="52">
        <v>46141</v>
      </c>
      <c r="G10" s="52">
        <v>46225</v>
      </c>
      <c r="H10" s="52">
        <v>46225</v>
      </c>
      <c r="I10" s="53">
        <v>46164</v>
      </c>
      <c r="J10" s="771">
        <f t="shared" si="1"/>
        <v>2400</v>
      </c>
      <c r="K10" s="175">
        <v>48</v>
      </c>
      <c r="L10" s="175">
        <v>200</v>
      </c>
      <c r="M10" s="175">
        <v>200</v>
      </c>
      <c r="N10" s="175">
        <v>200</v>
      </c>
      <c r="O10" s="175">
        <v>200</v>
      </c>
      <c r="P10" s="175">
        <v>200</v>
      </c>
      <c r="Q10" s="175">
        <v>200</v>
      </c>
      <c r="R10" s="175">
        <v>200</v>
      </c>
      <c r="S10" s="175">
        <v>200</v>
      </c>
      <c r="T10" s="175">
        <v>200</v>
      </c>
      <c r="U10" s="175">
        <v>200</v>
      </c>
      <c r="V10" s="175">
        <v>200</v>
      </c>
      <c r="W10" s="175">
        <v>200</v>
      </c>
      <c r="X10" s="624" t="s">
        <v>1628</v>
      </c>
      <c r="Y10" s="49" t="s">
        <v>81</v>
      </c>
      <c r="Z10" s="49" t="s">
        <v>1629</v>
      </c>
      <c r="AA10" s="48" t="s">
        <v>1647</v>
      </c>
      <c r="AB10" s="48" t="s">
        <v>1206</v>
      </c>
      <c r="AC10" s="624" t="s">
        <v>1628</v>
      </c>
      <c r="AD10" s="48" t="s">
        <v>1631</v>
      </c>
      <c r="AE10" s="176">
        <v>46225</v>
      </c>
      <c r="AF10" s="211">
        <v>46224</v>
      </c>
      <c r="AG10" s="211"/>
      <c r="AH10" s="211">
        <v>46247</v>
      </c>
      <c r="AI10" s="213" t="s">
        <v>1655</v>
      </c>
      <c r="AJ10" s="3" t="s">
        <v>1634</v>
      </c>
      <c r="AK10" s="3" t="s">
        <v>1607</v>
      </c>
    </row>
    <row r="11" s="311" customFormat="1" ht="36" customHeight="1" spans="1:37">
      <c r="A11" s="215">
        <f t="shared" si="0"/>
        <v>8</v>
      </c>
      <c r="B11" s="183" t="s">
        <v>1656</v>
      </c>
      <c r="C11" s="96" t="s">
        <v>77</v>
      </c>
      <c r="D11" s="293" t="s">
        <v>1657</v>
      </c>
      <c r="E11" s="293" t="s">
        <v>1658</v>
      </c>
      <c r="F11" s="217">
        <v>46168</v>
      </c>
      <c r="G11" s="217">
        <v>46284</v>
      </c>
      <c r="H11" s="217">
        <v>46280</v>
      </c>
      <c r="I11" s="218">
        <v>46216</v>
      </c>
      <c r="J11" s="282">
        <f t="shared" si="1"/>
        <v>62016</v>
      </c>
      <c r="K11" s="95">
        <v>48</v>
      </c>
      <c r="L11" s="95">
        <v>5168</v>
      </c>
      <c r="M11" s="95">
        <v>5168</v>
      </c>
      <c r="N11" s="95">
        <v>5168</v>
      </c>
      <c r="O11" s="95">
        <v>5168</v>
      </c>
      <c r="P11" s="95">
        <v>5168</v>
      </c>
      <c r="Q11" s="95">
        <v>5168</v>
      </c>
      <c r="R11" s="95">
        <v>5168</v>
      </c>
      <c r="S11" s="95">
        <v>5168</v>
      </c>
      <c r="T11" s="95">
        <v>5168</v>
      </c>
      <c r="U11" s="95">
        <v>5168</v>
      </c>
      <c r="V11" s="95">
        <v>5168</v>
      </c>
      <c r="W11" s="95">
        <v>5168</v>
      </c>
      <c r="X11" s="779" t="s">
        <v>1659</v>
      </c>
      <c r="Y11" s="96" t="s">
        <v>81</v>
      </c>
      <c r="Z11" s="183" t="s">
        <v>1660</v>
      </c>
      <c r="AA11" s="183" t="s">
        <v>1661</v>
      </c>
      <c r="AB11" s="183" t="s">
        <v>1660</v>
      </c>
      <c r="AC11" s="729" t="s">
        <v>1659</v>
      </c>
      <c r="AD11" s="183" t="s">
        <v>1631</v>
      </c>
      <c r="AE11" s="280">
        <v>46280</v>
      </c>
      <c r="AF11" s="279">
        <v>46283</v>
      </c>
      <c r="AG11" s="279"/>
      <c r="AH11" s="279"/>
      <c r="AI11" s="224" t="s">
        <v>1662</v>
      </c>
      <c r="AJ11" s="3" t="s">
        <v>1634</v>
      </c>
      <c r="AK11" s="3" t="s">
        <v>1610</v>
      </c>
    </row>
    <row r="12" s="311" customFormat="1" ht="36" customHeight="1" spans="1:37">
      <c r="A12" s="215">
        <f t="shared" si="0"/>
        <v>9</v>
      </c>
      <c r="B12" s="183" t="s">
        <v>1663</v>
      </c>
      <c r="C12" s="96" t="s">
        <v>77</v>
      </c>
      <c r="D12" s="293" t="s">
        <v>1664</v>
      </c>
      <c r="E12" s="293" t="s">
        <v>1665</v>
      </c>
      <c r="F12" s="217">
        <v>46168</v>
      </c>
      <c r="G12" s="217">
        <v>46284</v>
      </c>
      <c r="H12" s="217">
        <v>46280</v>
      </c>
      <c r="I12" s="218">
        <v>46216</v>
      </c>
      <c r="J12" s="282">
        <f t="shared" si="1"/>
        <v>50784</v>
      </c>
      <c r="K12" s="95">
        <v>48</v>
      </c>
      <c r="L12" s="95">
        <v>4232</v>
      </c>
      <c r="M12" s="95">
        <v>4232</v>
      </c>
      <c r="N12" s="95">
        <v>4232</v>
      </c>
      <c r="O12" s="95">
        <v>4232</v>
      </c>
      <c r="P12" s="95">
        <v>4232</v>
      </c>
      <c r="Q12" s="95">
        <v>4232</v>
      </c>
      <c r="R12" s="95">
        <v>4232</v>
      </c>
      <c r="S12" s="95">
        <v>4232</v>
      </c>
      <c r="T12" s="95">
        <v>4232</v>
      </c>
      <c r="U12" s="95">
        <v>4232</v>
      </c>
      <c r="V12" s="95">
        <v>4232</v>
      </c>
      <c r="W12" s="95">
        <v>4232</v>
      </c>
      <c r="X12" s="779" t="s">
        <v>1659</v>
      </c>
      <c r="Y12" s="96" t="s">
        <v>81</v>
      </c>
      <c r="Z12" s="183" t="s">
        <v>1660</v>
      </c>
      <c r="AA12" s="183" t="s">
        <v>1661</v>
      </c>
      <c r="AB12" s="183" t="s">
        <v>1660</v>
      </c>
      <c r="AC12" s="729" t="s">
        <v>1659</v>
      </c>
      <c r="AD12" s="183" t="s">
        <v>1631</v>
      </c>
      <c r="AE12" s="280">
        <v>46280</v>
      </c>
      <c r="AF12" s="279">
        <v>46283</v>
      </c>
      <c r="AG12" s="279"/>
      <c r="AH12" s="279"/>
      <c r="AI12" s="224" t="s">
        <v>1666</v>
      </c>
      <c r="AJ12" s="3" t="s">
        <v>1634</v>
      </c>
      <c r="AK12" s="3" t="s">
        <v>1610</v>
      </c>
    </row>
    <row r="13" s="311" customFormat="1" ht="36" customHeight="1" spans="1:37">
      <c r="A13" s="215">
        <f t="shared" ref="A13:A18" si="2">ROW()-3</f>
        <v>10</v>
      </c>
      <c r="B13" s="183" t="s">
        <v>1663</v>
      </c>
      <c r="C13" s="96" t="s">
        <v>77</v>
      </c>
      <c r="D13" s="293" t="s">
        <v>1667</v>
      </c>
      <c r="E13" s="293" t="s">
        <v>1668</v>
      </c>
      <c r="F13" s="217">
        <v>46168</v>
      </c>
      <c r="G13" s="217">
        <v>46281</v>
      </c>
      <c r="H13" s="217">
        <v>46281</v>
      </c>
      <c r="I13" s="218">
        <v>46219</v>
      </c>
      <c r="J13" s="282">
        <f t="shared" si="1"/>
        <v>32400</v>
      </c>
      <c r="K13" s="95">
        <v>48</v>
      </c>
      <c r="L13" s="95">
        <v>2700</v>
      </c>
      <c r="M13" s="95">
        <v>2700</v>
      </c>
      <c r="N13" s="95">
        <v>2700</v>
      </c>
      <c r="O13" s="95">
        <v>2700</v>
      </c>
      <c r="P13" s="95">
        <v>2700</v>
      </c>
      <c r="Q13" s="95">
        <v>2700</v>
      </c>
      <c r="R13" s="95">
        <v>2700</v>
      </c>
      <c r="S13" s="95">
        <v>2700</v>
      </c>
      <c r="T13" s="95">
        <v>2700</v>
      </c>
      <c r="U13" s="95">
        <v>2700</v>
      </c>
      <c r="V13" s="95">
        <v>2700</v>
      </c>
      <c r="W13" s="95">
        <v>2700</v>
      </c>
      <c r="X13" s="779" t="s">
        <v>1659</v>
      </c>
      <c r="Y13" s="96" t="s">
        <v>81</v>
      </c>
      <c r="Z13" s="183" t="s">
        <v>1660</v>
      </c>
      <c r="AA13" s="183" t="s">
        <v>1661</v>
      </c>
      <c r="AB13" s="183" t="s">
        <v>1660</v>
      </c>
      <c r="AC13" s="729" t="s">
        <v>1659</v>
      </c>
      <c r="AD13" s="183" t="s">
        <v>1631</v>
      </c>
      <c r="AE13" s="280">
        <v>46281</v>
      </c>
      <c r="AF13" s="279">
        <v>46283</v>
      </c>
      <c r="AG13" s="279"/>
      <c r="AH13" s="279"/>
      <c r="AI13" s="224" t="s">
        <v>1669</v>
      </c>
      <c r="AJ13" s="3" t="s">
        <v>1634</v>
      </c>
      <c r="AK13" s="3" t="s">
        <v>1610</v>
      </c>
    </row>
    <row r="14" s="311" customFormat="1" ht="36" customHeight="1" spans="1:37">
      <c r="A14" s="215">
        <f t="shared" si="2"/>
        <v>11</v>
      </c>
      <c r="B14" s="183" t="s">
        <v>1656</v>
      </c>
      <c r="C14" s="96" t="s">
        <v>77</v>
      </c>
      <c r="D14" s="293" t="s">
        <v>1670</v>
      </c>
      <c r="E14" s="293" t="s">
        <v>1671</v>
      </c>
      <c r="F14" s="217">
        <v>46168</v>
      </c>
      <c r="G14" s="217">
        <v>46281</v>
      </c>
      <c r="H14" s="217">
        <v>46281</v>
      </c>
      <c r="I14" s="218">
        <v>46219</v>
      </c>
      <c r="J14" s="282">
        <f t="shared" si="1"/>
        <v>39600</v>
      </c>
      <c r="K14" s="95">
        <v>48</v>
      </c>
      <c r="L14" s="95">
        <v>3300</v>
      </c>
      <c r="M14" s="95">
        <v>3300</v>
      </c>
      <c r="N14" s="95">
        <v>3300</v>
      </c>
      <c r="O14" s="95">
        <v>3300</v>
      </c>
      <c r="P14" s="95">
        <v>3300</v>
      </c>
      <c r="Q14" s="95">
        <v>3300</v>
      </c>
      <c r="R14" s="95">
        <v>3300</v>
      </c>
      <c r="S14" s="95">
        <v>3300</v>
      </c>
      <c r="T14" s="95">
        <v>3300</v>
      </c>
      <c r="U14" s="95">
        <v>3300</v>
      </c>
      <c r="V14" s="95">
        <v>3300</v>
      </c>
      <c r="W14" s="95">
        <v>3300</v>
      </c>
      <c r="X14" s="779" t="s">
        <v>1659</v>
      </c>
      <c r="Y14" s="96" t="s">
        <v>81</v>
      </c>
      <c r="Z14" s="183" t="s">
        <v>1660</v>
      </c>
      <c r="AA14" s="183" t="s">
        <v>1661</v>
      </c>
      <c r="AB14" s="183" t="s">
        <v>1660</v>
      </c>
      <c r="AC14" s="729" t="s">
        <v>1659</v>
      </c>
      <c r="AD14" s="183" t="s">
        <v>1631</v>
      </c>
      <c r="AE14" s="280">
        <v>46281</v>
      </c>
      <c r="AF14" s="279">
        <v>46283</v>
      </c>
      <c r="AG14" s="279"/>
      <c r="AH14" s="279"/>
      <c r="AI14" s="224" t="s">
        <v>1672</v>
      </c>
      <c r="AJ14" s="3" t="s">
        <v>1634</v>
      </c>
      <c r="AK14" s="3" t="s">
        <v>1610</v>
      </c>
    </row>
    <row r="15" s="311" customFormat="1" ht="36" customHeight="1" spans="1:37">
      <c r="A15" s="215">
        <f t="shared" si="2"/>
        <v>12</v>
      </c>
      <c r="B15" s="487" t="s">
        <v>1673</v>
      </c>
      <c r="C15" s="146" t="s">
        <v>1674</v>
      </c>
      <c r="D15" s="573" t="s">
        <v>1675</v>
      </c>
      <c r="E15" s="573" t="s">
        <v>1676</v>
      </c>
      <c r="F15" s="489">
        <v>46223</v>
      </c>
      <c r="G15" s="489">
        <v>46316</v>
      </c>
      <c r="H15" s="489">
        <v>46339</v>
      </c>
      <c r="I15" s="490">
        <v>46260</v>
      </c>
      <c r="J15" s="789">
        <f t="shared" si="1"/>
        <v>9600</v>
      </c>
      <c r="K15" s="95">
        <v>48</v>
      </c>
      <c r="L15" s="95">
        <v>800</v>
      </c>
      <c r="M15" s="95">
        <v>800</v>
      </c>
      <c r="N15" s="95">
        <v>800</v>
      </c>
      <c r="O15" s="95">
        <v>800</v>
      </c>
      <c r="P15" s="95">
        <v>800</v>
      </c>
      <c r="Q15" s="95">
        <v>800</v>
      </c>
      <c r="R15" s="95">
        <v>800</v>
      </c>
      <c r="S15" s="95">
        <v>800</v>
      </c>
      <c r="T15" s="95">
        <v>800</v>
      </c>
      <c r="U15" s="95">
        <v>800</v>
      </c>
      <c r="V15" s="95">
        <v>800</v>
      </c>
      <c r="W15" s="95">
        <v>800</v>
      </c>
      <c r="X15" s="779" t="s">
        <v>1677</v>
      </c>
      <c r="Y15" s="96" t="s">
        <v>81</v>
      </c>
      <c r="Z15" s="183"/>
      <c r="AA15" s="183"/>
      <c r="AB15" s="183"/>
      <c r="AC15" s="793" t="s">
        <v>1677</v>
      </c>
      <c r="AD15" s="183" t="s">
        <v>1678</v>
      </c>
      <c r="AE15" s="280">
        <v>46339</v>
      </c>
      <c r="AF15" s="279"/>
      <c r="AG15" s="279"/>
      <c r="AH15" s="279"/>
      <c r="AI15" s="224" t="s">
        <v>1679</v>
      </c>
      <c r="AJ15" s="159" t="s">
        <v>1634</v>
      </c>
    </row>
    <row r="16" s="311" customFormat="1" ht="36" customHeight="1" spans="1:37">
      <c r="A16" s="268">
        <f t="shared" si="2"/>
        <v>13</v>
      </c>
      <c r="B16" s="269" t="s">
        <v>1656</v>
      </c>
      <c r="C16" s="270" t="s">
        <v>77</v>
      </c>
      <c r="D16" s="272"/>
      <c r="E16" s="272"/>
      <c r="F16" s="273">
        <v>46267</v>
      </c>
      <c r="G16" s="273">
        <v>46322</v>
      </c>
      <c r="H16" s="273">
        <v>46322</v>
      </c>
      <c r="I16" s="274"/>
      <c r="J16" s="281"/>
      <c r="K16" s="276"/>
      <c r="L16" s="95">
        <v>1320</v>
      </c>
      <c r="M16" s="95">
        <v>1320</v>
      </c>
      <c r="N16" s="95">
        <v>1320</v>
      </c>
      <c r="O16" s="95">
        <v>1320</v>
      </c>
      <c r="P16" s="95">
        <v>1320</v>
      </c>
      <c r="Q16" s="95">
        <v>1320</v>
      </c>
      <c r="R16" s="95">
        <v>1320</v>
      </c>
      <c r="S16" s="95">
        <v>1320</v>
      </c>
      <c r="T16" s="95">
        <v>1320</v>
      </c>
      <c r="U16" s="95">
        <v>1320</v>
      </c>
      <c r="V16" s="95">
        <v>1320</v>
      </c>
      <c r="W16" s="95">
        <v>1320</v>
      </c>
      <c r="X16" s="779"/>
      <c r="Y16" s="96" t="s">
        <v>81</v>
      </c>
      <c r="Z16" s="183"/>
      <c r="AA16" s="183"/>
      <c r="AB16" s="183"/>
      <c r="AC16" s="729"/>
      <c r="AD16" s="183" t="s">
        <v>1631</v>
      </c>
      <c r="AE16" s="280">
        <v>46322</v>
      </c>
      <c r="AF16" s="279"/>
      <c r="AG16" s="279"/>
      <c r="AH16" s="279"/>
      <c r="AI16" s="224" t="s">
        <v>1680</v>
      </c>
      <c r="AJ16" s="3" t="s">
        <v>1634</v>
      </c>
    </row>
    <row r="17" s="311" customFormat="1" ht="36" customHeight="1" spans="1:36">
      <c r="A17" s="268">
        <f t="shared" si="2"/>
        <v>14</v>
      </c>
      <c r="B17" s="269" t="s">
        <v>1663</v>
      </c>
      <c r="C17" s="270" t="s">
        <v>77</v>
      </c>
      <c r="D17" s="272"/>
      <c r="E17" s="272"/>
      <c r="F17" s="273">
        <v>46267</v>
      </c>
      <c r="G17" s="273">
        <v>46322</v>
      </c>
      <c r="H17" s="273">
        <v>46322</v>
      </c>
      <c r="I17" s="274"/>
      <c r="J17" s="281"/>
      <c r="K17" s="276"/>
      <c r="L17" s="95">
        <v>1080</v>
      </c>
      <c r="M17" s="95">
        <v>1080</v>
      </c>
      <c r="N17" s="95">
        <v>1080</v>
      </c>
      <c r="O17" s="95">
        <v>1080</v>
      </c>
      <c r="P17" s="95">
        <v>1080</v>
      </c>
      <c r="Q17" s="95">
        <v>1080</v>
      </c>
      <c r="R17" s="95">
        <v>1080</v>
      </c>
      <c r="S17" s="95">
        <v>1080</v>
      </c>
      <c r="T17" s="95">
        <v>1080</v>
      </c>
      <c r="U17" s="95">
        <v>1080</v>
      </c>
      <c r="V17" s="95">
        <v>1080</v>
      </c>
      <c r="W17" s="95">
        <v>1080</v>
      </c>
      <c r="X17" s="779"/>
      <c r="Y17" s="96" t="s">
        <v>81</v>
      </c>
      <c r="Z17" s="183"/>
      <c r="AA17" s="183"/>
      <c r="AB17" s="183"/>
      <c r="AC17" s="729"/>
      <c r="AD17" s="183" t="s">
        <v>1631</v>
      </c>
      <c r="AE17" s="280">
        <v>46322</v>
      </c>
      <c r="AF17" s="279"/>
      <c r="AG17" s="279"/>
      <c r="AH17" s="279"/>
      <c r="AI17" s="224" t="s">
        <v>1681</v>
      </c>
      <c r="AJ17" s="3" t="s">
        <v>1634</v>
      </c>
    </row>
    <row r="18" s="3" customFormat="1" ht="27" customHeight="1" spans="1:36">
      <c r="A18" s="215">
        <f t="shared" si="2"/>
        <v>15</v>
      </c>
      <c r="B18" s="183"/>
      <c r="C18" s="96"/>
      <c r="D18" s="216"/>
      <c r="E18" s="216"/>
      <c r="F18" s="217"/>
      <c r="G18" s="217"/>
      <c r="H18" s="217"/>
      <c r="I18" s="218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278"/>
      <c r="Y18" s="96"/>
      <c r="Z18" s="279"/>
      <c r="AA18" s="279"/>
      <c r="AB18" s="183"/>
      <c r="AC18" s="183"/>
      <c r="AD18" s="183"/>
      <c r="AE18" s="280"/>
      <c r="AF18" s="222"/>
      <c r="AG18" s="97"/>
      <c r="AH18" s="97"/>
      <c r="AI18" s="224"/>
    </row>
    <row r="19" s="3" customFormat="1" ht="17.1" customHeight="1" spans="1:36">
      <c r="A19" s="93" t="s">
        <v>66</v>
      </c>
      <c r="B19" s="94"/>
      <c r="C19" s="94"/>
      <c r="D19" s="94"/>
      <c r="E19" s="94"/>
      <c r="F19" s="94"/>
      <c r="G19" s="94"/>
      <c r="H19" s="94"/>
      <c r="I19" s="94"/>
      <c r="J19" s="95">
        <f>SUM(J4:J18)</f>
        <v>268800</v>
      </c>
      <c r="K19" s="95"/>
      <c r="L19" s="95">
        <f t="shared" ref="L19:W19" si="3">SUM(L4:L18)</f>
        <v>29600</v>
      </c>
      <c r="M19" s="95">
        <f t="shared" si="3"/>
        <v>29600</v>
      </c>
      <c r="N19" s="95">
        <f t="shared" si="3"/>
        <v>29600</v>
      </c>
      <c r="O19" s="95">
        <f t="shared" si="3"/>
        <v>29600</v>
      </c>
      <c r="P19" s="95">
        <f t="shared" si="3"/>
        <v>29600</v>
      </c>
      <c r="Q19" s="95">
        <f t="shared" si="3"/>
        <v>29600</v>
      </c>
      <c r="R19" s="95">
        <f t="shared" si="3"/>
        <v>29600</v>
      </c>
      <c r="S19" s="95">
        <f t="shared" si="3"/>
        <v>29600</v>
      </c>
      <c r="T19" s="95">
        <f t="shared" si="3"/>
        <v>29600</v>
      </c>
      <c r="U19" s="95">
        <f t="shared" si="3"/>
        <v>29600</v>
      </c>
      <c r="V19" s="95">
        <f t="shared" si="3"/>
        <v>29600</v>
      </c>
      <c r="W19" s="95">
        <f t="shared" si="3"/>
        <v>29600</v>
      </c>
      <c r="X19" s="96"/>
      <c r="Y19" s="96"/>
      <c r="Z19" s="96"/>
      <c r="AA19" s="96"/>
      <c r="AB19" s="96"/>
      <c r="AC19" s="96"/>
      <c r="AD19" s="96"/>
      <c r="AE19" s="97"/>
      <c r="AF19" s="97"/>
      <c r="AG19" s="97"/>
      <c r="AH19" s="97"/>
      <c r="AI19" s="922"/>
    </row>
    <row r="20" s="4" customFormat="1" ht="17.1" customHeight="1" spans="1:36">
      <c r="A20" s="99"/>
      <c r="B20" s="100"/>
      <c r="C20" s="100"/>
      <c r="D20" s="100"/>
      <c r="E20" s="100"/>
      <c r="F20" s="100"/>
      <c r="G20" s="100"/>
      <c r="H20" s="100"/>
      <c r="I20" s="100"/>
      <c r="J20" s="134">
        <f>SUM(L20:W20)</f>
        <v>326400</v>
      </c>
      <c r="K20" s="134"/>
      <c r="L20" s="134">
        <f t="shared" ref="L20:W20" si="4">11000+15400+800</f>
        <v>27200</v>
      </c>
      <c r="M20" s="134">
        <f t="shared" si="4"/>
        <v>27200</v>
      </c>
      <c r="N20" s="134">
        <f t="shared" si="4"/>
        <v>27200</v>
      </c>
      <c r="O20" s="134">
        <f t="shared" si="4"/>
        <v>27200</v>
      </c>
      <c r="P20" s="134">
        <f t="shared" si="4"/>
        <v>27200</v>
      </c>
      <c r="Q20" s="134">
        <f t="shared" si="4"/>
        <v>27200</v>
      </c>
      <c r="R20" s="134">
        <f t="shared" si="4"/>
        <v>27200</v>
      </c>
      <c r="S20" s="134">
        <f t="shared" si="4"/>
        <v>27200</v>
      </c>
      <c r="T20" s="134">
        <f t="shared" si="4"/>
        <v>27200</v>
      </c>
      <c r="U20" s="134">
        <f t="shared" si="4"/>
        <v>27200</v>
      </c>
      <c r="V20" s="134">
        <f t="shared" si="4"/>
        <v>27200</v>
      </c>
      <c r="W20" s="134">
        <f t="shared" si="4"/>
        <v>27200</v>
      </c>
      <c r="X20" s="96"/>
      <c r="Y20" s="100"/>
      <c r="Z20" s="100"/>
      <c r="AA20" s="100"/>
      <c r="AB20" s="100"/>
      <c r="AC20" s="100"/>
      <c r="AD20" s="100"/>
      <c r="AE20" s="101"/>
      <c r="AF20" s="101"/>
      <c r="AG20" s="101"/>
      <c r="AH20" s="101"/>
      <c r="AI20" s="240"/>
      <c r="AJ20" s="3"/>
    </row>
    <row r="21" s="4" customFormat="1" ht="17.1" customHeight="1" spans="1:36">
      <c r="A21" s="241" t="s">
        <v>67</v>
      </c>
      <c r="B21" s="242"/>
      <c r="C21" s="242"/>
      <c r="D21" s="242"/>
      <c r="E21" s="242"/>
      <c r="F21" s="242"/>
      <c r="G21" s="242"/>
      <c r="H21" s="242"/>
      <c r="I21" s="243"/>
      <c r="J21" s="106">
        <f>SUM(L21:W21)</f>
        <v>-28800</v>
      </c>
      <c r="K21" s="923"/>
      <c r="L21" s="106">
        <f t="shared" ref="L21:W21" si="5">L20-L19</f>
        <v>-2400</v>
      </c>
      <c r="M21" s="106">
        <f t="shared" si="5"/>
        <v>-2400</v>
      </c>
      <c r="N21" s="106">
        <f t="shared" si="5"/>
        <v>-2400</v>
      </c>
      <c r="O21" s="106">
        <f t="shared" si="5"/>
        <v>-2400</v>
      </c>
      <c r="P21" s="106">
        <f t="shared" si="5"/>
        <v>-2400</v>
      </c>
      <c r="Q21" s="106">
        <f t="shared" si="5"/>
        <v>-2400</v>
      </c>
      <c r="R21" s="106">
        <f t="shared" si="5"/>
        <v>-2400</v>
      </c>
      <c r="S21" s="106">
        <f t="shared" si="5"/>
        <v>-2400</v>
      </c>
      <c r="T21" s="106">
        <f t="shared" si="5"/>
        <v>-2400</v>
      </c>
      <c r="U21" s="106">
        <f t="shared" si="5"/>
        <v>-2400</v>
      </c>
      <c r="V21" s="106">
        <f t="shared" si="5"/>
        <v>-2400</v>
      </c>
      <c r="W21" s="106">
        <f t="shared" si="5"/>
        <v>-2400</v>
      </c>
      <c r="X21" s="107"/>
      <c r="Y21" s="107"/>
      <c r="Z21" s="107"/>
      <c r="AA21" s="107"/>
      <c r="AB21" s="107"/>
      <c r="AC21" s="107"/>
      <c r="AD21" s="107"/>
      <c r="AE21" s="108"/>
      <c r="AF21" s="108"/>
      <c r="AG21" s="108"/>
      <c r="AH21" s="108"/>
      <c r="AI21" s="246"/>
    </row>
    <row r="22" spans="1:36">
      <c r="B22" s="110" t="s">
        <v>68</v>
      </c>
      <c r="C22" s="110"/>
      <c r="D22" s="111"/>
      <c r="E22" s="111"/>
      <c r="F22" s="111"/>
      <c r="G22" s="111"/>
      <c r="H22" s="111"/>
      <c r="I22" s="111"/>
      <c r="J22" s="285"/>
    </row>
    <row r="25" spans="1:36">
      <c r="B25" s="286"/>
    </row>
    <row r="26" spans="1:36">
      <c r="B26" s="286"/>
    </row>
    <row r="27" spans="1:36">
      <c r="B27" s="286"/>
    </row>
    <row r="28" spans="1:36">
      <c r="B28" s="286"/>
    </row>
  </sheetData>
  <autoFilter xmlns:etc="http://www.wps.cn/officeDocument/2017/etCustomData" ref="A3:AJ22" etc:filterBottomFollowUsedRange="0">
    <filterColumn colId="33">
      <filters blank="1"/>
    </filterColumn>
    <extLst/>
  </autoFilter>
  <mergeCells count="30">
    <mergeCell ref="A1:AD1"/>
    <mergeCell ref="AE1:AG1"/>
    <mergeCell ref="AH1:AI1"/>
    <mergeCell ref="L2:W2"/>
    <mergeCell ref="A19:I19"/>
    <mergeCell ref="A20:I20"/>
    <mergeCell ref="A21:I2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</mergeCells>
  <conditionalFormatting sqref="L21:W21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354166666666667" header="0.313888888888889" footer="0.313888888888889"/>
  <pageSetup paperSize="9" scale="51" orientation="landscape"/>
  <headerFooter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7" tint="0.396649067659536"/>
    <pageSetUpPr fitToPage="1"/>
  </sheetPr>
  <dimension ref="A1:AK63"/>
  <sheetViews>
    <sheetView workbookViewId="0">
      <pane xSplit="11" ySplit="3" topLeftCell="U4" activePane="bottomRight" state="frozen"/>
      <selection/>
      <selection pane="topRight"/>
      <selection pane="bottomLeft"/>
      <selection pane="bottomRight" activeCell="AB47" sqref="AB47"/>
    </sheetView>
  </sheetViews>
  <sheetFormatPr defaultColWidth="9" defaultRowHeight="14.25"/>
  <cols>
    <col min="1" max="1" width="3.125" customWidth="1"/>
    <col min="2" max="2" width="9.875" customWidth="1"/>
    <col min="3" max="3" width="7.375" customWidth="1"/>
    <col min="4" max="4" width="12.625" customWidth="1"/>
    <col min="5" max="5" width="10" customWidth="1"/>
    <col min="6" max="9" width="5.75" customWidth="1"/>
    <col min="10" max="10" width="8.25" customWidth="1"/>
    <col min="11" max="11" width="5.125" customWidth="1"/>
    <col min="12" max="23" width="5.875" customWidth="1"/>
    <col min="24" max="24" width="8.25" customWidth="1"/>
    <col min="25" max="25" width="5.125" customWidth="1"/>
    <col min="26" max="28" width="5.375" customWidth="1"/>
    <col min="29" max="29" width="8" customWidth="1"/>
    <col min="30" max="30" width="24.375" customWidth="1"/>
    <col min="31" max="31" width="8.75" style="114" customWidth="1"/>
    <col min="32" max="32" width="9" style="113" customWidth="1"/>
    <col min="33" max="33" width="7.125" style="113" customWidth="1"/>
    <col min="34" max="34" width="8.875" style="113" customWidth="1"/>
    <col min="35" max="35" width="17" style="194" customWidth="1"/>
    <col min="36" max="36" width="17.125" style="255" customWidth="1"/>
    <col min="37" max="37" width="9" style="193"/>
  </cols>
  <sheetData>
    <row r="1" ht="35.1" customHeight="1" spans="1:37">
      <c r="A1" s="329" t="s">
        <v>1682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840" t="s">
        <v>1</v>
      </c>
      <c r="AF1" s="840"/>
      <c r="AG1" s="840"/>
      <c r="AH1" s="331">
        <f ca="1">TODAY()</f>
        <v>46277</v>
      </c>
      <c r="AI1" s="841"/>
    </row>
    <row r="2" s="190" customFormat="1" ht="21.95" customHeight="1" spans="1:37">
      <c r="A2" s="15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9" t="s">
        <v>14</v>
      </c>
      <c r="Y2" s="21" t="s">
        <v>177</v>
      </c>
      <c r="Z2" s="21" t="s">
        <v>1612</v>
      </c>
      <c r="AA2" s="21" t="s">
        <v>1613</v>
      </c>
      <c r="AB2" s="21" t="s">
        <v>19</v>
      </c>
      <c r="AC2" s="21" t="s">
        <v>20</v>
      </c>
      <c r="AD2" s="24" t="s">
        <v>21</v>
      </c>
      <c r="AE2" s="25" t="s">
        <v>22</v>
      </c>
      <c r="AF2" s="26" t="s">
        <v>23</v>
      </c>
      <c r="AG2" s="26" t="s">
        <v>24</v>
      </c>
      <c r="AH2" s="26" t="s">
        <v>25</v>
      </c>
      <c r="AI2" s="842" t="s">
        <v>26</v>
      </c>
      <c r="AJ2" s="159" t="s">
        <v>65</v>
      </c>
      <c r="AK2" s="206" t="s">
        <v>382</v>
      </c>
    </row>
    <row r="3" s="190" customFormat="1" ht="36.75" customHeight="1" spans="1:37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266" t="s">
        <v>1561</v>
      </c>
      <c r="M3" s="266" t="s">
        <v>1562</v>
      </c>
      <c r="N3" s="266" t="s">
        <v>1568</v>
      </c>
      <c r="O3" s="266" t="s">
        <v>1563</v>
      </c>
      <c r="P3" s="266" t="s">
        <v>1564</v>
      </c>
      <c r="Q3" s="266" t="s">
        <v>1569</v>
      </c>
      <c r="R3" s="266" t="s">
        <v>1565</v>
      </c>
      <c r="S3" s="266" t="s">
        <v>1571</v>
      </c>
      <c r="T3" s="266" t="s">
        <v>1572</v>
      </c>
      <c r="U3" s="266" t="s">
        <v>1566</v>
      </c>
      <c r="V3" s="266" t="s">
        <v>1567</v>
      </c>
      <c r="W3" s="266" t="s">
        <v>1573</v>
      </c>
      <c r="X3" s="19"/>
      <c r="Y3" s="21"/>
      <c r="Z3" s="21"/>
      <c r="AA3" s="21"/>
      <c r="AB3" s="21"/>
      <c r="AC3" s="21"/>
      <c r="AD3" s="24"/>
      <c r="AE3" s="25"/>
      <c r="AF3" s="26"/>
      <c r="AG3" s="26"/>
      <c r="AH3" s="26"/>
      <c r="AI3" s="842"/>
      <c r="AJ3" s="159"/>
      <c r="AK3" s="206"/>
    </row>
    <row r="4" s="311" customFormat="1" ht="36" hidden="1" customHeight="1" spans="1:37">
      <c r="A4" s="843">
        <f t="shared" ref="A4:A52" si="0">ROW()-3</f>
        <v>1</v>
      </c>
      <c r="B4" s="624" t="s">
        <v>1683</v>
      </c>
      <c r="C4" s="316" t="s">
        <v>77</v>
      </c>
      <c r="D4" s="844" t="s">
        <v>1684</v>
      </c>
      <c r="E4" s="844"/>
      <c r="F4" s="845">
        <v>45966</v>
      </c>
      <c r="G4" s="845">
        <v>46022</v>
      </c>
      <c r="H4" s="845">
        <v>46022</v>
      </c>
      <c r="I4" s="846">
        <v>45987</v>
      </c>
      <c r="J4" s="847">
        <f>3108*12</f>
        <v>37296</v>
      </c>
      <c r="K4" s="703">
        <v>48</v>
      </c>
      <c r="L4" s="703">
        <f t="shared" ref="L4:W4" si="1">$J4/$K4*4</f>
        <v>3108</v>
      </c>
      <c r="M4" s="703">
        <f t="shared" si="1"/>
        <v>3108</v>
      </c>
      <c r="N4" s="703">
        <f t="shared" si="1"/>
        <v>3108</v>
      </c>
      <c r="O4" s="703">
        <f t="shared" si="1"/>
        <v>3108</v>
      </c>
      <c r="P4" s="703">
        <f t="shared" si="1"/>
        <v>3108</v>
      </c>
      <c r="Q4" s="703">
        <f t="shared" si="1"/>
        <v>3108</v>
      </c>
      <c r="R4" s="703">
        <f t="shared" si="1"/>
        <v>3108</v>
      </c>
      <c r="S4" s="703">
        <f t="shared" si="1"/>
        <v>3108</v>
      </c>
      <c r="T4" s="703">
        <f t="shared" si="1"/>
        <v>3108</v>
      </c>
      <c r="U4" s="703">
        <f t="shared" si="1"/>
        <v>3108</v>
      </c>
      <c r="V4" s="703">
        <f t="shared" si="1"/>
        <v>3108</v>
      </c>
      <c r="W4" s="703">
        <f t="shared" si="1"/>
        <v>3108</v>
      </c>
      <c r="X4" s="848" t="s">
        <v>1685</v>
      </c>
      <c r="Y4" s="849" t="s">
        <v>81</v>
      </c>
      <c r="Z4" s="624" t="s">
        <v>1686</v>
      </c>
      <c r="AA4" s="850" t="s">
        <v>1687</v>
      </c>
      <c r="AB4" s="624" t="s">
        <v>1688</v>
      </c>
      <c r="AC4" s="624" t="s">
        <v>1689</v>
      </c>
      <c r="AD4" s="624" t="s">
        <v>1690</v>
      </c>
      <c r="AE4" s="851">
        <v>46020</v>
      </c>
      <c r="AF4" s="852">
        <v>46020</v>
      </c>
      <c r="AG4" s="852"/>
      <c r="AH4" s="852">
        <v>46041</v>
      </c>
      <c r="AI4" s="853" t="s">
        <v>1691</v>
      </c>
      <c r="AJ4" s="3" t="s">
        <v>1692</v>
      </c>
    </row>
    <row r="5" s="311" customFormat="1" ht="36" hidden="1" customHeight="1" spans="1:37">
      <c r="A5" s="208">
        <f t="shared" si="0"/>
        <v>2</v>
      </c>
      <c r="B5" s="48" t="s">
        <v>1683</v>
      </c>
      <c r="C5" s="49" t="s">
        <v>77</v>
      </c>
      <c r="D5" s="51" t="s">
        <v>1693</v>
      </c>
      <c r="E5" s="51"/>
      <c r="F5" s="52">
        <v>45966</v>
      </c>
      <c r="G5" s="52">
        <v>46022</v>
      </c>
      <c r="H5" s="52">
        <v>46022</v>
      </c>
      <c r="I5" s="53">
        <v>45987</v>
      </c>
      <c r="J5" s="771">
        <f>2652*12</f>
        <v>31824</v>
      </c>
      <c r="K5" s="175">
        <v>48</v>
      </c>
      <c r="L5" s="175">
        <f t="shared" ref="L5:W5" si="2">$J5/$K5*4</f>
        <v>2652</v>
      </c>
      <c r="M5" s="175">
        <f t="shared" si="2"/>
        <v>2652</v>
      </c>
      <c r="N5" s="175">
        <f t="shared" si="2"/>
        <v>2652</v>
      </c>
      <c r="O5" s="175">
        <f t="shared" si="2"/>
        <v>2652</v>
      </c>
      <c r="P5" s="175">
        <f t="shared" si="2"/>
        <v>2652</v>
      </c>
      <c r="Q5" s="175">
        <f t="shared" si="2"/>
        <v>2652</v>
      </c>
      <c r="R5" s="175">
        <f t="shared" si="2"/>
        <v>2652</v>
      </c>
      <c r="S5" s="175">
        <f t="shared" si="2"/>
        <v>2652</v>
      </c>
      <c r="T5" s="175">
        <f t="shared" si="2"/>
        <v>2652</v>
      </c>
      <c r="U5" s="175">
        <f t="shared" si="2"/>
        <v>2652</v>
      </c>
      <c r="V5" s="175">
        <f t="shared" si="2"/>
        <v>2652</v>
      </c>
      <c r="W5" s="175">
        <f t="shared" si="2"/>
        <v>2652</v>
      </c>
      <c r="X5" s="848" t="s">
        <v>1685</v>
      </c>
      <c r="Y5" s="210" t="s">
        <v>81</v>
      </c>
      <c r="Z5" s="48" t="s">
        <v>1686</v>
      </c>
      <c r="AA5" s="305" t="s">
        <v>1687</v>
      </c>
      <c r="AB5" s="48" t="s">
        <v>1688</v>
      </c>
      <c r="AC5" s="624" t="s">
        <v>1689</v>
      </c>
      <c r="AD5" s="48" t="s">
        <v>1690</v>
      </c>
      <c r="AE5" s="176">
        <v>46020</v>
      </c>
      <c r="AF5" s="211">
        <v>46020</v>
      </c>
      <c r="AG5" s="211"/>
      <c r="AH5" s="211">
        <v>46041</v>
      </c>
      <c r="AI5" s="213" t="s">
        <v>1694</v>
      </c>
      <c r="AJ5" s="3" t="s">
        <v>1692</v>
      </c>
    </row>
    <row r="6" s="311" customFormat="1" ht="36" hidden="1" customHeight="1" spans="1:37">
      <c r="A6" s="208">
        <f t="shared" si="0"/>
        <v>3</v>
      </c>
      <c r="B6" s="48" t="s">
        <v>1683</v>
      </c>
      <c r="C6" s="49" t="s">
        <v>77</v>
      </c>
      <c r="D6" s="51" t="s">
        <v>1695</v>
      </c>
      <c r="E6" s="51"/>
      <c r="F6" s="52">
        <v>45966</v>
      </c>
      <c r="G6" s="52">
        <v>46022</v>
      </c>
      <c r="H6" s="52">
        <v>46022</v>
      </c>
      <c r="I6" s="53">
        <v>45993</v>
      </c>
      <c r="J6" s="771">
        <f>2076*12</f>
        <v>24912</v>
      </c>
      <c r="K6" s="175">
        <v>48</v>
      </c>
      <c r="L6" s="175">
        <f t="shared" ref="L6:W6" si="3">$J6/$K6*4</f>
        <v>2076</v>
      </c>
      <c r="M6" s="175">
        <f t="shared" si="3"/>
        <v>2076</v>
      </c>
      <c r="N6" s="175">
        <f t="shared" si="3"/>
        <v>2076</v>
      </c>
      <c r="O6" s="175">
        <f t="shared" si="3"/>
        <v>2076</v>
      </c>
      <c r="P6" s="175">
        <f t="shared" si="3"/>
        <v>2076</v>
      </c>
      <c r="Q6" s="175">
        <f t="shared" si="3"/>
        <v>2076</v>
      </c>
      <c r="R6" s="175">
        <f t="shared" si="3"/>
        <v>2076</v>
      </c>
      <c r="S6" s="175">
        <f t="shared" si="3"/>
        <v>2076</v>
      </c>
      <c r="T6" s="175">
        <f t="shared" si="3"/>
        <v>2076</v>
      </c>
      <c r="U6" s="175">
        <f t="shared" si="3"/>
        <v>2076</v>
      </c>
      <c r="V6" s="175">
        <f t="shared" si="3"/>
        <v>2076</v>
      </c>
      <c r="W6" s="175">
        <f t="shared" si="3"/>
        <v>2076</v>
      </c>
      <c r="X6" s="848" t="s">
        <v>1685</v>
      </c>
      <c r="Y6" s="210" t="s">
        <v>81</v>
      </c>
      <c r="Z6" s="48" t="s">
        <v>1686</v>
      </c>
      <c r="AA6" s="305" t="s">
        <v>1687</v>
      </c>
      <c r="AB6" s="48" t="s">
        <v>905</v>
      </c>
      <c r="AC6" s="624" t="s">
        <v>1689</v>
      </c>
      <c r="AD6" s="48" t="s">
        <v>1690</v>
      </c>
      <c r="AE6" s="176">
        <v>46020</v>
      </c>
      <c r="AF6" s="211">
        <v>46020</v>
      </c>
      <c r="AG6" s="211"/>
      <c r="AH6" s="211">
        <v>46046</v>
      </c>
      <c r="AI6" s="213" t="s">
        <v>1696</v>
      </c>
      <c r="AJ6" s="3" t="s">
        <v>1692</v>
      </c>
    </row>
    <row r="7" s="311" customFormat="1" ht="36" hidden="1" customHeight="1" spans="1:37">
      <c r="A7" s="208">
        <f t="shared" si="0"/>
        <v>4</v>
      </c>
      <c r="B7" s="48" t="s">
        <v>1683</v>
      </c>
      <c r="C7" s="49" t="s">
        <v>77</v>
      </c>
      <c r="D7" s="51" t="s">
        <v>1697</v>
      </c>
      <c r="E7" s="51"/>
      <c r="F7" s="52">
        <v>45966</v>
      </c>
      <c r="G7" s="52">
        <v>46022</v>
      </c>
      <c r="H7" s="52">
        <v>46022</v>
      </c>
      <c r="I7" s="53">
        <v>45993</v>
      </c>
      <c r="J7" s="771">
        <f>1764*12</f>
        <v>21168</v>
      </c>
      <c r="K7" s="175">
        <v>48</v>
      </c>
      <c r="L7" s="175">
        <f t="shared" ref="L7:W7" si="4">$J7/$K7*4</f>
        <v>1764</v>
      </c>
      <c r="M7" s="175">
        <f t="shared" si="4"/>
        <v>1764</v>
      </c>
      <c r="N7" s="175">
        <f t="shared" si="4"/>
        <v>1764</v>
      </c>
      <c r="O7" s="175">
        <f t="shared" si="4"/>
        <v>1764</v>
      </c>
      <c r="P7" s="175">
        <f t="shared" si="4"/>
        <v>1764</v>
      </c>
      <c r="Q7" s="175">
        <f t="shared" si="4"/>
        <v>1764</v>
      </c>
      <c r="R7" s="175">
        <f t="shared" si="4"/>
        <v>1764</v>
      </c>
      <c r="S7" s="175">
        <f t="shared" si="4"/>
        <v>1764</v>
      </c>
      <c r="T7" s="175">
        <f t="shared" si="4"/>
        <v>1764</v>
      </c>
      <c r="U7" s="175">
        <f t="shared" si="4"/>
        <v>1764</v>
      </c>
      <c r="V7" s="175">
        <f t="shared" si="4"/>
        <v>1764</v>
      </c>
      <c r="W7" s="175">
        <f t="shared" si="4"/>
        <v>1764</v>
      </c>
      <c r="X7" s="848" t="s">
        <v>1685</v>
      </c>
      <c r="Y7" s="210" t="s">
        <v>81</v>
      </c>
      <c r="Z7" s="48" t="s">
        <v>1686</v>
      </c>
      <c r="AA7" s="305" t="s">
        <v>1687</v>
      </c>
      <c r="AB7" s="48" t="s">
        <v>905</v>
      </c>
      <c r="AC7" s="624" t="s">
        <v>1689</v>
      </c>
      <c r="AD7" s="48" t="s">
        <v>1690</v>
      </c>
      <c r="AE7" s="176">
        <v>46020</v>
      </c>
      <c r="AF7" s="211">
        <v>46020</v>
      </c>
      <c r="AG7" s="211"/>
      <c r="AH7" s="211">
        <v>46046</v>
      </c>
      <c r="AI7" s="213" t="s">
        <v>1698</v>
      </c>
      <c r="AJ7" s="3" t="s">
        <v>1692</v>
      </c>
    </row>
    <row r="8" s="311" customFormat="1" ht="36" hidden="1" customHeight="1" spans="1:37">
      <c r="A8" s="208">
        <f t="shared" si="0"/>
        <v>5</v>
      </c>
      <c r="B8" s="48" t="s">
        <v>1582</v>
      </c>
      <c r="C8" s="49" t="s">
        <v>77</v>
      </c>
      <c r="D8" s="51" t="s">
        <v>1699</v>
      </c>
      <c r="E8" s="51"/>
      <c r="F8" s="52">
        <v>45973</v>
      </c>
      <c r="G8" s="52">
        <v>46031</v>
      </c>
      <c r="H8" s="52">
        <v>46031</v>
      </c>
      <c r="I8" s="53">
        <v>45981</v>
      </c>
      <c r="J8" s="771">
        <v>9600</v>
      </c>
      <c r="K8" s="175">
        <v>48</v>
      </c>
      <c r="L8" s="175">
        <f t="shared" ref="L8:W8" si="5">$J8/$K8*4</f>
        <v>800</v>
      </c>
      <c r="M8" s="175">
        <f t="shared" si="5"/>
        <v>800</v>
      </c>
      <c r="N8" s="175">
        <f t="shared" si="5"/>
        <v>800</v>
      </c>
      <c r="O8" s="175">
        <f t="shared" si="5"/>
        <v>800</v>
      </c>
      <c r="P8" s="175">
        <f t="shared" si="5"/>
        <v>800</v>
      </c>
      <c r="Q8" s="175">
        <f t="shared" si="5"/>
        <v>800</v>
      </c>
      <c r="R8" s="175">
        <f t="shared" si="5"/>
        <v>800</v>
      </c>
      <c r="S8" s="175">
        <f t="shared" si="5"/>
        <v>800</v>
      </c>
      <c r="T8" s="175">
        <f t="shared" si="5"/>
        <v>800</v>
      </c>
      <c r="U8" s="175">
        <f t="shared" si="5"/>
        <v>800</v>
      </c>
      <c r="V8" s="175">
        <f t="shared" si="5"/>
        <v>800</v>
      </c>
      <c r="W8" s="175">
        <f t="shared" si="5"/>
        <v>800</v>
      </c>
      <c r="X8" s="854" t="s">
        <v>1685</v>
      </c>
      <c r="Y8" s="210" t="s">
        <v>81</v>
      </c>
      <c r="Z8" s="48" t="s">
        <v>1686</v>
      </c>
      <c r="AA8" s="48" t="s">
        <v>1700</v>
      </c>
      <c r="AB8" s="48" t="s">
        <v>905</v>
      </c>
      <c r="AC8" s="624" t="s">
        <v>1689</v>
      </c>
      <c r="AD8" s="48" t="s">
        <v>1701</v>
      </c>
      <c r="AE8" s="176">
        <v>46029</v>
      </c>
      <c r="AF8" s="211">
        <v>46029</v>
      </c>
      <c r="AG8" s="211"/>
      <c r="AH8" s="211">
        <v>46053</v>
      </c>
      <c r="AI8" s="213" t="s">
        <v>1702</v>
      </c>
      <c r="AJ8" s="3" t="s">
        <v>1692</v>
      </c>
    </row>
    <row r="9" s="311" customFormat="1" ht="36" hidden="1" customHeight="1" spans="1:37">
      <c r="A9" s="208">
        <f t="shared" si="0"/>
        <v>6</v>
      </c>
      <c r="B9" s="48" t="s">
        <v>1582</v>
      </c>
      <c r="C9" s="49" t="s">
        <v>77</v>
      </c>
      <c r="D9" s="51" t="s">
        <v>1703</v>
      </c>
      <c r="E9" s="51"/>
      <c r="F9" s="52">
        <v>45973</v>
      </c>
      <c r="G9" s="52">
        <v>46031</v>
      </c>
      <c r="H9" s="52">
        <v>46031</v>
      </c>
      <c r="I9" s="53">
        <v>45981</v>
      </c>
      <c r="J9" s="771">
        <v>2880</v>
      </c>
      <c r="K9" s="175">
        <v>48</v>
      </c>
      <c r="L9" s="175">
        <f t="shared" ref="L9:W9" si="6">$J9/$K9*4</f>
        <v>240</v>
      </c>
      <c r="M9" s="175">
        <f t="shared" si="6"/>
        <v>240</v>
      </c>
      <c r="N9" s="175">
        <f t="shared" si="6"/>
        <v>240</v>
      </c>
      <c r="O9" s="175">
        <f t="shared" si="6"/>
        <v>240</v>
      </c>
      <c r="P9" s="175">
        <f t="shared" si="6"/>
        <v>240</v>
      </c>
      <c r="Q9" s="175">
        <f t="shared" si="6"/>
        <v>240</v>
      </c>
      <c r="R9" s="175">
        <f t="shared" si="6"/>
        <v>240</v>
      </c>
      <c r="S9" s="175">
        <f t="shared" si="6"/>
        <v>240</v>
      </c>
      <c r="T9" s="175">
        <f t="shared" si="6"/>
        <v>240</v>
      </c>
      <c r="U9" s="175">
        <f t="shared" si="6"/>
        <v>240</v>
      </c>
      <c r="V9" s="175">
        <f t="shared" si="6"/>
        <v>240</v>
      </c>
      <c r="W9" s="175">
        <f t="shared" si="6"/>
        <v>240</v>
      </c>
      <c r="X9" s="854" t="s">
        <v>1685</v>
      </c>
      <c r="Y9" s="210" t="s">
        <v>81</v>
      </c>
      <c r="Z9" s="48" t="s">
        <v>1686</v>
      </c>
      <c r="AA9" s="48" t="s">
        <v>1700</v>
      </c>
      <c r="AB9" s="48" t="s">
        <v>905</v>
      </c>
      <c r="AC9" s="624" t="s">
        <v>1689</v>
      </c>
      <c r="AD9" s="48" t="s">
        <v>1701</v>
      </c>
      <c r="AE9" s="176">
        <v>46029</v>
      </c>
      <c r="AF9" s="211">
        <v>46029</v>
      </c>
      <c r="AG9" s="211"/>
      <c r="AH9" s="211">
        <v>46053</v>
      </c>
      <c r="AI9" s="213" t="s">
        <v>1704</v>
      </c>
      <c r="AJ9" s="3" t="s">
        <v>1692</v>
      </c>
    </row>
    <row r="10" s="311" customFormat="1" ht="36" hidden="1" customHeight="1" spans="1:37">
      <c r="A10" s="208">
        <f t="shared" si="0"/>
        <v>7</v>
      </c>
      <c r="B10" s="48" t="s">
        <v>1582</v>
      </c>
      <c r="C10" s="49" t="s">
        <v>77</v>
      </c>
      <c r="D10" s="51" t="s">
        <v>1705</v>
      </c>
      <c r="E10" s="51"/>
      <c r="F10" s="52">
        <v>45973</v>
      </c>
      <c r="G10" s="52">
        <v>46031</v>
      </c>
      <c r="H10" s="52">
        <v>46031</v>
      </c>
      <c r="I10" s="53">
        <v>45981</v>
      </c>
      <c r="J10" s="771">
        <v>2880</v>
      </c>
      <c r="K10" s="175">
        <v>48</v>
      </c>
      <c r="L10" s="175">
        <f t="shared" ref="L10:W10" si="7">$J10/$K10*4</f>
        <v>240</v>
      </c>
      <c r="M10" s="175">
        <f t="shared" si="7"/>
        <v>240</v>
      </c>
      <c r="N10" s="175">
        <f t="shared" si="7"/>
        <v>240</v>
      </c>
      <c r="O10" s="175">
        <f t="shared" si="7"/>
        <v>240</v>
      </c>
      <c r="P10" s="175">
        <f t="shared" si="7"/>
        <v>240</v>
      </c>
      <c r="Q10" s="175">
        <f t="shared" si="7"/>
        <v>240</v>
      </c>
      <c r="R10" s="175">
        <f t="shared" si="7"/>
        <v>240</v>
      </c>
      <c r="S10" s="175">
        <f t="shared" si="7"/>
        <v>240</v>
      </c>
      <c r="T10" s="175">
        <f t="shared" si="7"/>
        <v>240</v>
      </c>
      <c r="U10" s="175">
        <f t="shared" si="7"/>
        <v>240</v>
      </c>
      <c r="V10" s="175">
        <f t="shared" si="7"/>
        <v>240</v>
      </c>
      <c r="W10" s="175">
        <f t="shared" si="7"/>
        <v>240</v>
      </c>
      <c r="X10" s="854" t="s">
        <v>1685</v>
      </c>
      <c r="Y10" s="210" t="s">
        <v>81</v>
      </c>
      <c r="Z10" s="48" t="s">
        <v>1686</v>
      </c>
      <c r="AA10" s="48" t="s">
        <v>1700</v>
      </c>
      <c r="AB10" s="48" t="s">
        <v>905</v>
      </c>
      <c r="AC10" s="624" t="s">
        <v>1689</v>
      </c>
      <c r="AD10" s="48" t="s">
        <v>1631</v>
      </c>
      <c r="AE10" s="176">
        <v>46029</v>
      </c>
      <c r="AF10" s="211">
        <v>46029</v>
      </c>
      <c r="AG10" s="211"/>
      <c r="AH10" s="211">
        <v>46053</v>
      </c>
      <c r="AI10" s="213" t="s">
        <v>1706</v>
      </c>
      <c r="AJ10" s="3" t="s">
        <v>1692</v>
      </c>
    </row>
    <row r="11" s="311" customFormat="1" ht="36" hidden="1" customHeight="1" spans="1:37">
      <c r="A11" s="208">
        <f t="shared" si="0"/>
        <v>8</v>
      </c>
      <c r="B11" s="48" t="s">
        <v>1707</v>
      </c>
      <c r="C11" s="49" t="s">
        <v>114</v>
      </c>
      <c r="D11" s="51" t="s">
        <v>1708</v>
      </c>
      <c r="E11" s="51" t="s">
        <v>1709</v>
      </c>
      <c r="F11" s="52">
        <v>46044</v>
      </c>
      <c r="G11" s="52">
        <v>46096</v>
      </c>
      <c r="H11" s="52">
        <v>46096</v>
      </c>
      <c r="I11" s="53">
        <v>46044</v>
      </c>
      <c r="J11" s="771">
        <v>1200</v>
      </c>
      <c r="K11" s="175">
        <v>48</v>
      </c>
      <c r="L11" s="175">
        <f t="shared" ref="L11:W11" si="8">$J11/$K11*4</f>
        <v>100</v>
      </c>
      <c r="M11" s="175">
        <f t="shared" si="8"/>
        <v>100</v>
      </c>
      <c r="N11" s="175">
        <f t="shared" si="8"/>
        <v>100</v>
      </c>
      <c r="O11" s="175">
        <f t="shared" si="8"/>
        <v>100</v>
      </c>
      <c r="P11" s="175">
        <f t="shared" si="8"/>
        <v>100</v>
      </c>
      <c r="Q11" s="175">
        <f t="shared" si="8"/>
        <v>100</v>
      </c>
      <c r="R11" s="175">
        <f t="shared" si="8"/>
        <v>100</v>
      </c>
      <c r="S11" s="175">
        <f t="shared" si="8"/>
        <v>100</v>
      </c>
      <c r="T11" s="175">
        <f t="shared" si="8"/>
        <v>100</v>
      </c>
      <c r="U11" s="175">
        <f t="shared" si="8"/>
        <v>100</v>
      </c>
      <c r="V11" s="175">
        <f t="shared" si="8"/>
        <v>100</v>
      </c>
      <c r="W11" s="175">
        <f t="shared" si="8"/>
        <v>100</v>
      </c>
      <c r="X11" s="322" t="s">
        <v>1710</v>
      </c>
      <c r="Y11" s="210" t="s">
        <v>104</v>
      </c>
      <c r="Z11" s="48" t="s">
        <v>1036</v>
      </c>
      <c r="AA11" s="48" t="s">
        <v>1519</v>
      </c>
      <c r="AB11" s="48" t="s">
        <v>830</v>
      </c>
      <c r="AC11" s="624" t="s">
        <v>1512</v>
      </c>
      <c r="AD11" s="48" t="s">
        <v>1711</v>
      </c>
      <c r="AE11" s="176">
        <v>46094</v>
      </c>
      <c r="AF11" s="211">
        <v>46092</v>
      </c>
      <c r="AG11" s="211"/>
      <c r="AH11" s="211">
        <v>46095</v>
      </c>
      <c r="AI11" s="213" t="s">
        <v>1712</v>
      </c>
      <c r="AJ11" s="3" t="s">
        <v>1692</v>
      </c>
    </row>
    <row r="12" s="311" customFormat="1" ht="36" hidden="1" customHeight="1" spans="1:37">
      <c r="A12" s="208">
        <f t="shared" si="0"/>
        <v>9</v>
      </c>
      <c r="B12" s="48" t="s">
        <v>1656</v>
      </c>
      <c r="C12" s="49" t="s">
        <v>77</v>
      </c>
      <c r="D12" s="51" t="s">
        <v>1713</v>
      </c>
      <c r="E12" s="51" t="s">
        <v>1714</v>
      </c>
      <c r="F12" s="52">
        <v>46046</v>
      </c>
      <c r="G12" s="52">
        <v>46118</v>
      </c>
      <c r="H12" s="52">
        <v>46118</v>
      </c>
      <c r="I12" s="53">
        <v>46059</v>
      </c>
      <c r="J12" s="774">
        <v>28800</v>
      </c>
      <c r="K12" s="175">
        <v>48</v>
      </c>
      <c r="L12" s="175">
        <v>2400</v>
      </c>
      <c r="M12" s="175">
        <v>2400</v>
      </c>
      <c r="N12" s="175">
        <v>2400</v>
      </c>
      <c r="O12" s="175">
        <v>2400</v>
      </c>
      <c r="P12" s="175">
        <v>2400</v>
      </c>
      <c r="Q12" s="175">
        <v>2400</v>
      </c>
      <c r="R12" s="175">
        <v>2400</v>
      </c>
      <c r="S12" s="175">
        <v>2400</v>
      </c>
      <c r="T12" s="175">
        <v>2400</v>
      </c>
      <c r="U12" s="175">
        <v>2400</v>
      </c>
      <c r="V12" s="175">
        <v>2400</v>
      </c>
      <c r="W12" s="175">
        <v>2400</v>
      </c>
      <c r="X12" s="322" t="s">
        <v>1715</v>
      </c>
      <c r="Y12" s="214" t="s">
        <v>81</v>
      </c>
      <c r="Z12" s="48" t="s">
        <v>1036</v>
      </c>
      <c r="AA12" s="48" t="s">
        <v>1519</v>
      </c>
      <c r="AB12" s="48" t="s">
        <v>1036</v>
      </c>
      <c r="AC12" s="624" t="s">
        <v>1716</v>
      </c>
      <c r="AD12" s="48" t="s">
        <v>1631</v>
      </c>
      <c r="AE12" s="176">
        <v>46118</v>
      </c>
      <c r="AF12" s="211">
        <v>46114</v>
      </c>
      <c r="AG12" s="211"/>
      <c r="AH12" s="211">
        <v>46130</v>
      </c>
      <c r="AI12" s="213" t="s">
        <v>1717</v>
      </c>
      <c r="AJ12" s="3" t="s">
        <v>1692</v>
      </c>
    </row>
    <row r="13" s="311" customFormat="1" ht="36" hidden="1" customHeight="1" spans="1:37">
      <c r="A13" s="208">
        <f t="shared" si="0"/>
        <v>10</v>
      </c>
      <c r="B13" s="48" t="s">
        <v>1718</v>
      </c>
      <c r="C13" s="49" t="s">
        <v>77</v>
      </c>
      <c r="D13" s="51" t="s">
        <v>1719</v>
      </c>
      <c r="E13" s="51" t="s">
        <v>1720</v>
      </c>
      <c r="F13" s="52">
        <v>46046</v>
      </c>
      <c r="G13" s="52">
        <v>46118</v>
      </c>
      <c r="H13" s="52">
        <v>46118</v>
      </c>
      <c r="I13" s="53">
        <v>46059</v>
      </c>
      <c r="J13" s="774">
        <v>21600</v>
      </c>
      <c r="K13" s="175">
        <v>48</v>
      </c>
      <c r="L13" s="175">
        <v>1800</v>
      </c>
      <c r="M13" s="175">
        <v>1800</v>
      </c>
      <c r="N13" s="175">
        <v>1800</v>
      </c>
      <c r="O13" s="175">
        <v>1800</v>
      </c>
      <c r="P13" s="175">
        <v>1800</v>
      </c>
      <c r="Q13" s="175">
        <v>1800</v>
      </c>
      <c r="R13" s="175">
        <v>1800</v>
      </c>
      <c r="S13" s="175">
        <v>1800</v>
      </c>
      <c r="T13" s="175">
        <v>1800</v>
      </c>
      <c r="U13" s="175">
        <v>1800</v>
      </c>
      <c r="V13" s="175">
        <v>1800</v>
      </c>
      <c r="W13" s="175">
        <v>1800</v>
      </c>
      <c r="X13" s="322" t="s">
        <v>1715</v>
      </c>
      <c r="Y13" s="214" t="s">
        <v>81</v>
      </c>
      <c r="Z13" s="48" t="s">
        <v>1036</v>
      </c>
      <c r="AA13" s="48" t="s">
        <v>1519</v>
      </c>
      <c r="AB13" s="48" t="s">
        <v>1036</v>
      </c>
      <c r="AC13" s="624" t="s">
        <v>1716</v>
      </c>
      <c r="AD13" s="48" t="s">
        <v>1631</v>
      </c>
      <c r="AE13" s="176">
        <v>46118</v>
      </c>
      <c r="AF13" s="211">
        <v>46114</v>
      </c>
      <c r="AG13" s="211"/>
      <c r="AH13" s="211">
        <v>46130</v>
      </c>
      <c r="AI13" s="712">
        <v>225202</v>
      </c>
      <c r="AJ13" s="3" t="s">
        <v>1692</v>
      </c>
    </row>
    <row r="14" s="311" customFormat="1" ht="36" hidden="1" customHeight="1" spans="1:37">
      <c r="A14" s="208">
        <f t="shared" si="0"/>
        <v>11</v>
      </c>
      <c r="B14" s="48" t="s">
        <v>1656</v>
      </c>
      <c r="C14" s="49" t="s">
        <v>77</v>
      </c>
      <c r="D14" s="51" t="s">
        <v>1721</v>
      </c>
      <c r="E14" s="51" t="s">
        <v>1722</v>
      </c>
      <c r="F14" s="52">
        <v>46046</v>
      </c>
      <c r="G14" s="52">
        <v>46153</v>
      </c>
      <c r="H14" s="52">
        <v>46153</v>
      </c>
      <c r="I14" s="53">
        <v>46062</v>
      </c>
      <c r="J14" s="771">
        <v>28800</v>
      </c>
      <c r="K14" s="175">
        <v>48</v>
      </c>
      <c r="L14" s="175">
        <v>2400</v>
      </c>
      <c r="M14" s="175">
        <v>2400</v>
      </c>
      <c r="N14" s="175">
        <v>2400</v>
      </c>
      <c r="O14" s="175">
        <v>2400</v>
      </c>
      <c r="P14" s="175">
        <v>2400</v>
      </c>
      <c r="Q14" s="175">
        <v>2400</v>
      </c>
      <c r="R14" s="175">
        <v>2400</v>
      </c>
      <c r="S14" s="175">
        <v>2400</v>
      </c>
      <c r="T14" s="175">
        <v>2400</v>
      </c>
      <c r="U14" s="175">
        <v>2400</v>
      </c>
      <c r="V14" s="175">
        <v>2400</v>
      </c>
      <c r="W14" s="175">
        <v>2400</v>
      </c>
      <c r="X14" s="322" t="s">
        <v>1715</v>
      </c>
      <c r="Y14" s="210" t="s">
        <v>81</v>
      </c>
      <c r="Z14" s="48" t="s">
        <v>444</v>
      </c>
      <c r="AA14" s="48" t="s">
        <v>1519</v>
      </c>
      <c r="AB14" s="48" t="s">
        <v>444</v>
      </c>
      <c r="AC14" s="624" t="s">
        <v>1723</v>
      </c>
      <c r="AD14" s="48" t="s">
        <v>1631</v>
      </c>
      <c r="AE14" s="176">
        <v>46153</v>
      </c>
      <c r="AF14" s="211">
        <v>46128</v>
      </c>
      <c r="AG14" s="211"/>
      <c r="AH14" s="211">
        <v>46160</v>
      </c>
      <c r="AI14" s="213" t="s">
        <v>1724</v>
      </c>
      <c r="AJ14" s="3" t="s">
        <v>1692</v>
      </c>
    </row>
    <row r="15" s="311" customFormat="1" ht="36" hidden="1" customHeight="1" spans="1:37">
      <c r="A15" s="208">
        <f t="shared" si="0"/>
        <v>12</v>
      </c>
      <c r="B15" s="48" t="s">
        <v>1718</v>
      </c>
      <c r="C15" s="49" t="s">
        <v>77</v>
      </c>
      <c r="D15" s="51" t="s">
        <v>1725</v>
      </c>
      <c r="E15" s="51" t="s">
        <v>1726</v>
      </c>
      <c r="F15" s="52">
        <v>46046</v>
      </c>
      <c r="G15" s="52">
        <v>46153</v>
      </c>
      <c r="H15" s="52">
        <v>46153</v>
      </c>
      <c r="I15" s="53">
        <v>46062</v>
      </c>
      <c r="J15" s="771">
        <v>21600</v>
      </c>
      <c r="K15" s="175">
        <v>48</v>
      </c>
      <c r="L15" s="175">
        <v>1800</v>
      </c>
      <c r="M15" s="175">
        <v>1800</v>
      </c>
      <c r="N15" s="175">
        <v>1800</v>
      </c>
      <c r="O15" s="175">
        <v>1800</v>
      </c>
      <c r="P15" s="175">
        <v>1800</v>
      </c>
      <c r="Q15" s="175">
        <v>1800</v>
      </c>
      <c r="R15" s="175">
        <v>1800</v>
      </c>
      <c r="S15" s="175">
        <v>1800</v>
      </c>
      <c r="T15" s="175">
        <v>1800</v>
      </c>
      <c r="U15" s="175">
        <v>1800</v>
      </c>
      <c r="V15" s="175">
        <v>1800</v>
      </c>
      <c r="W15" s="175">
        <v>1800</v>
      </c>
      <c r="X15" s="322" t="s">
        <v>1715</v>
      </c>
      <c r="Y15" s="210" t="s">
        <v>81</v>
      </c>
      <c r="Z15" s="48" t="s">
        <v>444</v>
      </c>
      <c r="AA15" s="48" t="s">
        <v>1519</v>
      </c>
      <c r="AB15" s="48" t="s">
        <v>444</v>
      </c>
      <c r="AC15" s="624" t="s">
        <v>1723</v>
      </c>
      <c r="AD15" s="48" t="s">
        <v>1631</v>
      </c>
      <c r="AE15" s="176">
        <v>46153</v>
      </c>
      <c r="AF15" s="211">
        <v>46128</v>
      </c>
      <c r="AG15" s="211"/>
      <c r="AH15" s="211">
        <v>46160</v>
      </c>
      <c r="AI15" s="213" t="s">
        <v>1727</v>
      </c>
      <c r="AJ15" s="3" t="s">
        <v>1692</v>
      </c>
    </row>
    <row r="16" s="311" customFormat="1" ht="36" hidden="1" customHeight="1" spans="1:37">
      <c r="A16" s="208">
        <f t="shared" si="0"/>
        <v>13</v>
      </c>
      <c r="B16" s="48" t="s">
        <v>1728</v>
      </c>
      <c r="C16" s="49" t="s">
        <v>1674</v>
      </c>
      <c r="D16" s="51" t="s">
        <v>1729</v>
      </c>
      <c r="E16" s="51" t="s">
        <v>1730</v>
      </c>
      <c r="F16" s="52">
        <v>46043</v>
      </c>
      <c r="G16" s="52">
        <v>46148</v>
      </c>
      <c r="H16" s="52">
        <v>46148</v>
      </c>
      <c r="I16" s="53">
        <v>46092</v>
      </c>
      <c r="J16" s="771">
        <f t="shared" ref="J16:J52" si="9">SUBTOTAL(9,L16:W16)</f>
        <v>0</v>
      </c>
      <c r="K16" s="175">
        <v>48</v>
      </c>
      <c r="L16" s="175">
        <v>580</v>
      </c>
      <c r="M16" s="175">
        <v>580</v>
      </c>
      <c r="N16" s="175">
        <v>580</v>
      </c>
      <c r="O16" s="175">
        <v>580</v>
      </c>
      <c r="P16" s="175">
        <v>580</v>
      </c>
      <c r="Q16" s="175">
        <v>580</v>
      </c>
      <c r="R16" s="175">
        <v>580</v>
      </c>
      <c r="S16" s="175">
        <v>580</v>
      </c>
      <c r="T16" s="175">
        <v>580</v>
      </c>
      <c r="U16" s="175">
        <v>580</v>
      </c>
      <c r="V16" s="175">
        <v>580</v>
      </c>
      <c r="W16" s="175">
        <v>580</v>
      </c>
      <c r="X16" s="322" t="s">
        <v>1715</v>
      </c>
      <c r="Y16" s="210" t="s">
        <v>81</v>
      </c>
      <c r="Z16" s="48" t="s">
        <v>444</v>
      </c>
      <c r="AA16" s="48" t="s">
        <v>1731</v>
      </c>
      <c r="AB16" s="48" t="s">
        <v>444</v>
      </c>
      <c r="AC16" s="624" t="s">
        <v>1723</v>
      </c>
      <c r="AD16" s="48" t="s">
        <v>1631</v>
      </c>
      <c r="AE16" s="176">
        <v>46148</v>
      </c>
      <c r="AF16" s="211">
        <v>46135</v>
      </c>
      <c r="AG16" s="211"/>
      <c r="AH16" s="211">
        <v>46157</v>
      </c>
      <c r="AI16" s="213" t="s">
        <v>1732</v>
      </c>
      <c r="AJ16" s="3" t="s">
        <v>1692</v>
      </c>
    </row>
    <row r="17" s="311" customFormat="1" ht="36" hidden="1" customHeight="1" spans="1:37">
      <c r="A17" s="208">
        <f t="shared" si="0"/>
        <v>14</v>
      </c>
      <c r="B17" s="48" t="s">
        <v>1728</v>
      </c>
      <c r="C17" s="49" t="s">
        <v>1674</v>
      </c>
      <c r="D17" s="51" t="s">
        <v>1733</v>
      </c>
      <c r="E17" s="51" t="s">
        <v>1734</v>
      </c>
      <c r="F17" s="52">
        <v>46043</v>
      </c>
      <c r="G17" s="52">
        <v>46148</v>
      </c>
      <c r="H17" s="52">
        <v>46148</v>
      </c>
      <c r="I17" s="53">
        <v>46092</v>
      </c>
      <c r="J17" s="771">
        <f t="shared" si="9"/>
        <v>0</v>
      </c>
      <c r="K17" s="175">
        <v>48</v>
      </c>
      <c r="L17" s="175">
        <v>580</v>
      </c>
      <c r="M17" s="175">
        <v>580</v>
      </c>
      <c r="N17" s="175">
        <v>580</v>
      </c>
      <c r="O17" s="175">
        <v>580</v>
      </c>
      <c r="P17" s="175">
        <v>580</v>
      </c>
      <c r="Q17" s="175">
        <v>580</v>
      </c>
      <c r="R17" s="175">
        <v>580</v>
      </c>
      <c r="S17" s="175">
        <v>580</v>
      </c>
      <c r="T17" s="175">
        <v>580</v>
      </c>
      <c r="U17" s="175">
        <v>580</v>
      </c>
      <c r="V17" s="175">
        <v>580</v>
      </c>
      <c r="W17" s="175">
        <v>580</v>
      </c>
      <c r="X17" s="322" t="s">
        <v>1715</v>
      </c>
      <c r="Y17" s="210" t="s">
        <v>81</v>
      </c>
      <c r="Z17" s="48" t="s">
        <v>444</v>
      </c>
      <c r="AA17" s="48" t="s">
        <v>1731</v>
      </c>
      <c r="AB17" s="48" t="s">
        <v>444</v>
      </c>
      <c r="AC17" s="624" t="s">
        <v>1723</v>
      </c>
      <c r="AD17" s="48" t="s">
        <v>1631</v>
      </c>
      <c r="AE17" s="176">
        <v>46148</v>
      </c>
      <c r="AF17" s="211">
        <v>46135</v>
      </c>
      <c r="AG17" s="211"/>
      <c r="AH17" s="211">
        <v>46157</v>
      </c>
      <c r="AI17" s="213" t="s">
        <v>1735</v>
      </c>
      <c r="AJ17" s="3" t="s">
        <v>1692</v>
      </c>
    </row>
    <row r="18" s="311" customFormat="1" ht="36" hidden="1" customHeight="1" spans="1:37">
      <c r="A18" s="208">
        <f t="shared" si="0"/>
        <v>15</v>
      </c>
      <c r="B18" s="48" t="s">
        <v>1736</v>
      </c>
      <c r="C18" s="49" t="s">
        <v>486</v>
      </c>
      <c r="D18" s="51" t="s">
        <v>1737</v>
      </c>
      <c r="E18" s="51" t="s">
        <v>1738</v>
      </c>
      <c r="F18" s="52">
        <v>46083</v>
      </c>
      <c r="G18" s="52">
        <v>46163</v>
      </c>
      <c r="H18" s="52">
        <v>46163</v>
      </c>
      <c r="I18" s="53">
        <v>46128</v>
      </c>
      <c r="J18" s="774">
        <f t="shared" si="9"/>
        <v>0</v>
      </c>
      <c r="K18" s="175">
        <v>48</v>
      </c>
      <c r="L18" s="175">
        <v>6568</v>
      </c>
      <c r="M18" s="175">
        <v>6568</v>
      </c>
      <c r="N18" s="175">
        <v>6568</v>
      </c>
      <c r="O18" s="175">
        <v>6568</v>
      </c>
      <c r="P18" s="175">
        <v>6568</v>
      </c>
      <c r="Q18" s="175">
        <v>6568</v>
      </c>
      <c r="R18" s="175">
        <v>6568</v>
      </c>
      <c r="S18" s="175">
        <v>6568</v>
      </c>
      <c r="T18" s="175">
        <v>6568</v>
      </c>
      <c r="U18" s="175">
        <v>6568</v>
      </c>
      <c r="V18" s="175">
        <v>6568</v>
      </c>
      <c r="W18" s="175">
        <v>6568</v>
      </c>
      <c r="X18" s="322" t="s">
        <v>1723</v>
      </c>
      <c r="Y18" s="214" t="s">
        <v>104</v>
      </c>
      <c r="Z18" s="48" t="s">
        <v>459</v>
      </c>
      <c r="AA18" s="48" t="s">
        <v>1739</v>
      </c>
      <c r="AB18" s="48" t="s">
        <v>1740</v>
      </c>
      <c r="AC18" s="624" t="s">
        <v>1723</v>
      </c>
      <c r="AD18" s="48" t="s">
        <v>1741</v>
      </c>
      <c r="AE18" s="176">
        <v>46163</v>
      </c>
      <c r="AF18" s="211">
        <v>46169</v>
      </c>
      <c r="AG18" s="211"/>
      <c r="AH18" s="211" t="s">
        <v>1742</v>
      </c>
      <c r="AI18" s="213" t="s">
        <v>1743</v>
      </c>
      <c r="AJ18" s="159" t="s">
        <v>1692</v>
      </c>
    </row>
    <row r="19" s="311" customFormat="1" ht="36" hidden="1" customHeight="1" spans="1:37">
      <c r="A19" s="208">
        <f t="shared" si="0"/>
        <v>16</v>
      </c>
      <c r="B19" s="48" t="s">
        <v>1625</v>
      </c>
      <c r="C19" s="49" t="s">
        <v>77</v>
      </c>
      <c r="D19" s="51" t="s">
        <v>1635</v>
      </c>
      <c r="E19" s="51" t="s">
        <v>1636</v>
      </c>
      <c r="F19" s="52">
        <v>46126</v>
      </c>
      <c r="G19" s="52">
        <v>46176</v>
      </c>
      <c r="H19" s="52">
        <v>46176</v>
      </c>
      <c r="I19" s="53">
        <v>46156</v>
      </c>
      <c r="J19" s="771">
        <f t="shared" si="9"/>
        <v>0</v>
      </c>
      <c r="K19" s="175">
        <v>48</v>
      </c>
      <c r="L19" s="175">
        <v>1248</v>
      </c>
      <c r="M19" s="175">
        <v>1248</v>
      </c>
      <c r="N19" s="175">
        <v>1248</v>
      </c>
      <c r="O19" s="175">
        <v>1248</v>
      </c>
      <c r="P19" s="175">
        <v>1248</v>
      </c>
      <c r="Q19" s="175">
        <v>1248</v>
      </c>
      <c r="R19" s="175">
        <v>1248</v>
      </c>
      <c r="S19" s="175">
        <v>1248</v>
      </c>
      <c r="T19" s="175">
        <v>1248</v>
      </c>
      <c r="U19" s="175">
        <v>1248</v>
      </c>
      <c r="V19" s="175">
        <v>1248</v>
      </c>
      <c r="W19" s="175">
        <v>1248</v>
      </c>
      <c r="X19" s="624" t="s">
        <v>499</v>
      </c>
      <c r="Y19" s="49" t="s">
        <v>81</v>
      </c>
      <c r="Z19" s="49" t="s">
        <v>514</v>
      </c>
      <c r="AA19" s="48" t="s">
        <v>1744</v>
      </c>
      <c r="AB19" s="48" t="s">
        <v>1745</v>
      </c>
      <c r="AC19" s="624" t="s">
        <v>499</v>
      </c>
      <c r="AD19" s="48" t="s">
        <v>1631</v>
      </c>
      <c r="AE19" s="176">
        <v>46176</v>
      </c>
      <c r="AF19" s="211">
        <v>46177</v>
      </c>
      <c r="AG19" s="211"/>
      <c r="AH19" s="211">
        <v>46194</v>
      </c>
      <c r="AI19" s="213" t="s">
        <v>1637</v>
      </c>
      <c r="AJ19" s="159" t="s">
        <v>1692</v>
      </c>
    </row>
    <row r="20" s="311" customFormat="1" ht="36" hidden="1" customHeight="1" spans="1:37">
      <c r="A20" s="855">
        <f t="shared" si="0"/>
        <v>17</v>
      </c>
      <c r="B20" s="856" t="s">
        <v>1625</v>
      </c>
      <c r="C20" s="857" t="s">
        <v>77</v>
      </c>
      <c r="D20" s="858" t="s">
        <v>1626</v>
      </c>
      <c r="E20" s="858" t="s">
        <v>1627</v>
      </c>
      <c r="F20" s="859">
        <v>46126</v>
      </c>
      <c r="G20" s="859">
        <v>46176</v>
      </c>
      <c r="H20" s="859">
        <v>46176</v>
      </c>
      <c r="I20" s="860">
        <v>46156</v>
      </c>
      <c r="J20" s="861">
        <f t="shared" si="9"/>
        <v>0</v>
      </c>
      <c r="K20" s="862">
        <v>48</v>
      </c>
      <c r="L20" s="862">
        <v>1152</v>
      </c>
      <c r="M20" s="862">
        <v>1152</v>
      </c>
      <c r="N20" s="862">
        <v>1152</v>
      </c>
      <c r="O20" s="862">
        <v>1152</v>
      </c>
      <c r="P20" s="862">
        <v>1152</v>
      </c>
      <c r="Q20" s="862">
        <v>1152</v>
      </c>
      <c r="R20" s="862">
        <v>1152</v>
      </c>
      <c r="S20" s="862">
        <v>1152</v>
      </c>
      <c r="T20" s="862">
        <v>1152</v>
      </c>
      <c r="U20" s="862">
        <v>1152</v>
      </c>
      <c r="V20" s="862">
        <v>1152</v>
      </c>
      <c r="W20" s="862">
        <v>1152</v>
      </c>
      <c r="X20" s="322" t="s">
        <v>499</v>
      </c>
      <c r="Y20" s="49" t="s">
        <v>81</v>
      </c>
      <c r="Z20" s="49" t="s">
        <v>514</v>
      </c>
      <c r="AA20" s="48" t="s">
        <v>1744</v>
      </c>
      <c r="AB20" s="48" t="s">
        <v>1745</v>
      </c>
      <c r="AC20" s="624" t="s">
        <v>499</v>
      </c>
      <c r="AD20" s="48" t="s">
        <v>1631</v>
      </c>
      <c r="AE20" s="863">
        <v>46176</v>
      </c>
      <c r="AF20" s="864">
        <v>46176</v>
      </c>
      <c r="AG20" s="864"/>
      <c r="AH20" s="864">
        <v>46182</v>
      </c>
      <c r="AI20" s="865" t="s">
        <v>1633</v>
      </c>
      <c r="AJ20" s="159" t="s">
        <v>1692</v>
      </c>
    </row>
    <row r="21" s="311" customFormat="1" ht="36" hidden="1" customHeight="1" spans="1:37">
      <c r="A21" s="866">
        <f t="shared" si="0"/>
        <v>18</v>
      </c>
      <c r="B21" s="867" t="s">
        <v>1625</v>
      </c>
      <c r="C21" s="868" t="s">
        <v>77</v>
      </c>
      <c r="D21" s="869" t="s">
        <v>1638</v>
      </c>
      <c r="E21" s="869" t="s">
        <v>1639</v>
      </c>
      <c r="F21" s="870">
        <v>46126</v>
      </c>
      <c r="G21" s="870">
        <v>46192</v>
      </c>
      <c r="H21" s="870">
        <v>46192</v>
      </c>
      <c r="I21" s="871">
        <v>46164</v>
      </c>
      <c r="J21" s="872">
        <f t="shared" si="9"/>
        <v>0</v>
      </c>
      <c r="K21" s="873">
        <v>48</v>
      </c>
      <c r="L21" s="873">
        <v>1248</v>
      </c>
      <c r="M21" s="873">
        <v>1248</v>
      </c>
      <c r="N21" s="873">
        <v>1248</v>
      </c>
      <c r="O21" s="873">
        <v>1248</v>
      </c>
      <c r="P21" s="873">
        <v>1248</v>
      </c>
      <c r="Q21" s="873">
        <v>1248</v>
      </c>
      <c r="R21" s="873">
        <v>1248</v>
      </c>
      <c r="S21" s="873">
        <v>1248</v>
      </c>
      <c r="T21" s="873">
        <v>1248</v>
      </c>
      <c r="U21" s="873">
        <v>1248</v>
      </c>
      <c r="V21" s="873">
        <v>1248</v>
      </c>
      <c r="W21" s="874">
        <v>1248</v>
      </c>
      <c r="X21" s="875" t="s">
        <v>499</v>
      </c>
      <c r="Y21" s="49" t="s">
        <v>81</v>
      </c>
      <c r="Z21" s="49" t="s">
        <v>514</v>
      </c>
      <c r="AA21" s="48" t="s">
        <v>1744</v>
      </c>
      <c r="AB21" s="48" t="s">
        <v>390</v>
      </c>
      <c r="AC21" s="624" t="s">
        <v>499</v>
      </c>
      <c r="AD21" s="876" t="s">
        <v>1631</v>
      </c>
      <c r="AE21" s="877">
        <v>46192</v>
      </c>
      <c r="AF21" s="878">
        <v>46196</v>
      </c>
      <c r="AG21" s="879"/>
      <c r="AH21" s="879">
        <v>46209</v>
      </c>
      <c r="AI21" s="880" t="s">
        <v>1640</v>
      </c>
      <c r="AJ21" s="159" t="s">
        <v>1692</v>
      </c>
      <c r="AK21" s="3"/>
    </row>
    <row r="22" s="311" customFormat="1" ht="36" hidden="1" customHeight="1" spans="1:37">
      <c r="A22" s="208">
        <f t="shared" si="0"/>
        <v>19</v>
      </c>
      <c r="B22" s="48" t="s">
        <v>1625</v>
      </c>
      <c r="C22" s="49" t="s">
        <v>77</v>
      </c>
      <c r="D22" s="51" t="s">
        <v>1641</v>
      </c>
      <c r="E22" s="51" t="s">
        <v>1642</v>
      </c>
      <c r="F22" s="52">
        <v>46126</v>
      </c>
      <c r="G22" s="52">
        <v>46192</v>
      </c>
      <c r="H22" s="52">
        <v>46192</v>
      </c>
      <c r="I22" s="53">
        <v>46164</v>
      </c>
      <c r="J22" s="771">
        <f t="shared" si="9"/>
        <v>0</v>
      </c>
      <c r="K22" s="175">
        <v>48</v>
      </c>
      <c r="L22" s="175">
        <v>1152</v>
      </c>
      <c r="M22" s="175">
        <v>1152</v>
      </c>
      <c r="N22" s="175">
        <v>1152</v>
      </c>
      <c r="O22" s="175">
        <v>1152</v>
      </c>
      <c r="P22" s="175">
        <v>1152</v>
      </c>
      <c r="Q22" s="175">
        <v>1152</v>
      </c>
      <c r="R22" s="175">
        <v>1152</v>
      </c>
      <c r="S22" s="175">
        <v>1152</v>
      </c>
      <c r="T22" s="175">
        <v>1152</v>
      </c>
      <c r="U22" s="175">
        <v>1152</v>
      </c>
      <c r="V22" s="175">
        <v>1152</v>
      </c>
      <c r="W22" s="881">
        <v>1152</v>
      </c>
      <c r="X22" s="875" t="s">
        <v>499</v>
      </c>
      <c r="Y22" s="49" t="s">
        <v>81</v>
      </c>
      <c r="Z22" s="49" t="s">
        <v>514</v>
      </c>
      <c r="AA22" s="48" t="s">
        <v>1744</v>
      </c>
      <c r="AB22" s="48" t="s">
        <v>390</v>
      </c>
      <c r="AC22" s="624" t="s">
        <v>499</v>
      </c>
      <c r="AD22" s="876" t="s">
        <v>1631</v>
      </c>
      <c r="AE22" s="882">
        <v>46192</v>
      </c>
      <c r="AF22" s="317">
        <v>46196</v>
      </c>
      <c r="AG22" s="211"/>
      <c r="AH22" s="879">
        <v>46209</v>
      </c>
      <c r="AI22" s="213" t="s">
        <v>1643</v>
      </c>
      <c r="AJ22" s="159" t="s">
        <v>1692</v>
      </c>
      <c r="AK22" s="3"/>
    </row>
    <row r="23" s="311" customFormat="1" ht="36" hidden="1" customHeight="1" spans="1:37">
      <c r="A23" s="208">
        <f t="shared" si="0"/>
        <v>20</v>
      </c>
      <c r="B23" s="48" t="s">
        <v>1746</v>
      </c>
      <c r="C23" s="49" t="s">
        <v>726</v>
      </c>
      <c r="D23" s="51" t="s">
        <v>1747</v>
      </c>
      <c r="E23" s="51" t="s">
        <v>1748</v>
      </c>
      <c r="F23" s="52">
        <v>46079</v>
      </c>
      <c r="G23" s="52">
        <v>46192</v>
      </c>
      <c r="H23" s="52">
        <v>46192</v>
      </c>
      <c r="I23" s="53">
        <v>46162</v>
      </c>
      <c r="J23" s="771">
        <f t="shared" si="9"/>
        <v>0</v>
      </c>
      <c r="K23" s="175">
        <v>48</v>
      </c>
      <c r="L23" s="175">
        <v>240</v>
      </c>
      <c r="M23" s="175">
        <v>240</v>
      </c>
      <c r="N23" s="175">
        <v>240</v>
      </c>
      <c r="O23" s="175">
        <v>240</v>
      </c>
      <c r="P23" s="175">
        <v>240</v>
      </c>
      <c r="Q23" s="175">
        <v>240</v>
      </c>
      <c r="R23" s="175">
        <v>240</v>
      </c>
      <c r="S23" s="175">
        <v>240</v>
      </c>
      <c r="T23" s="175">
        <v>240</v>
      </c>
      <c r="U23" s="175">
        <v>240</v>
      </c>
      <c r="V23" s="175">
        <v>240</v>
      </c>
      <c r="W23" s="881">
        <v>240</v>
      </c>
      <c r="X23" s="875" t="s">
        <v>1749</v>
      </c>
      <c r="Y23" s="883" t="s">
        <v>104</v>
      </c>
      <c r="Z23" s="49" t="s">
        <v>514</v>
      </c>
      <c r="AA23" s="48" t="s">
        <v>1744</v>
      </c>
      <c r="AB23" s="48" t="s">
        <v>1750</v>
      </c>
      <c r="AC23" s="624" t="s">
        <v>1749</v>
      </c>
      <c r="AD23" s="876" t="s">
        <v>1751</v>
      </c>
      <c r="AE23" s="882">
        <v>46192</v>
      </c>
      <c r="AF23" s="317">
        <v>46196</v>
      </c>
      <c r="AG23" s="211"/>
      <c r="AH23" s="211">
        <v>46217</v>
      </c>
      <c r="AI23" s="213" t="s">
        <v>1752</v>
      </c>
      <c r="AJ23" s="159" t="s">
        <v>1692</v>
      </c>
      <c r="AK23" s="3"/>
    </row>
    <row r="24" s="311" customFormat="1" ht="36" hidden="1" customHeight="1" spans="1:37">
      <c r="A24" s="208">
        <f t="shared" si="0"/>
        <v>21</v>
      </c>
      <c r="B24" s="48" t="s">
        <v>1746</v>
      </c>
      <c r="C24" s="49" t="s">
        <v>726</v>
      </c>
      <c r="D24" s="51" t="s">
        <v>1753</v>
      </c>
      <c r="E24" s="51" t="s">
        <v>1754</v>
      </c>
      <c r="F24" s="52">
        <v>46079</v>
      </c>
      <c r="G24" s="52">
        <v>46192</v>
      </c>
      <c r="H24" s="52">
        <v>46192</v>
      </c>
      <c r="I24" s="53">
        <v>46162</v>
      </c>
      <c r="J24" s="771">
        <f t="shared" si="9"/>
        <v>0</v>
      </c>
      <c r="K24" s="175">
        <v>48</v>
      </c>
      <c r="L24" s="175">
        <v>320</v>
      </c>
      <c r="M24" s="175">
        <v>320</v>
      </c>
      <c r="N24" s="175">
        <v>320</v>
      </c>
      <c r="O24" s="175">
        <v>320</v>
      </c>
      <c r="P24" s="175">
        <v>320</v>
      </c>
      <c r="Q24" s="175">
        <v>320</v>
      </c>
      <c r="R24" s="175">
        <v>320</v>
      </c>
      <c r="S24" s="175">
        <v>320</v>
      </c>
      <c r="T24" s="175">
        <v>320</v>
      </c>
      <c r="U24" s="175">
        <v>320</v>
      </c>
      <c r="V24" s="175">
        <v>320</v>
      </c>
      <c r="W24" s="881">
        <v>320</v>
      </c>
      <c r="X24" s="875" t="s">
        <v>1749</v>
      </c>
      <c r="Y24" s="883" t="s">
        <v>104</v>
      </c>
      <c r="Z24" s="49" t="s">
        <v>514</v>
      </c>
      <c r="AA24" s="48" t="s">
        <v>1744</v>
      </c>
      <c r="AB24" s="48" t="s">
        <v>1750</v>
      </c>
      <c r="AC24" s="624" t="s">
        <v>1749</v>
      </c>
      <c r="AD24" s="876" t="s">
        <v>1751</v>
      </c>
      <c r="AE24" s="882">
        <v>46192</v>
      </c>
      <c r="AF24" s="317">
        <v>46196</v>
      </c>
      <c r="AG24" s="211"/>
      <c r="AH24" s="211">
        <v>46217</v>
      </c>
      <c r="AI24" s="213" t="s">
        <v>1755</v>
      </c>
      <c r="AJ24" s="159" t="s">
        <v>1692</v>
      </c>
      <c r="AK24" s="3"/>
    </row>
    <row r="25" s="311" customFormat="1" ht="36" hidden="1" customHeight="1" spans="1:37">
      <c r="A25" s="208">
        <f t="shared" si="0"/>
        <v>22</v>
      </c>
      <c r="B25" s="48" t="s">
        <v>1746</v>
      </c>
      <c r="C25" s="49" t="s">
        <v>726</v>
      </c>
      <c r="D25" s="51" t="s">
        <v>1756</v>
      </c>
      <c r="E25" s="51" t="s">
        <v>1757</v>
      </c>
      <c r="F25" s="52">
        <v>46079</v>
      </c>
      <c r="G25" s="52">
        <v>46192</v>
      </c>
      <c r="H25" s="52">
        <v>46192</v>
      </c>
      <c r="I25" s="53">
        <v>46162</v>
      </c>
      <c r="J25" s="771">
        <f t="shared" si="9"/>
        <v>0</v>
      </c>
      <c r="K25" s="175">
        <v>48</v>
      </c>
      <c r="L25" s="175">
        <v>360</v>
      </c>
      <c r="M25" s="175">
        <v>360</v>
      </c>
      <c r="N25" s="175">
        <v>360</v>
      </c>
      <c r="O25" s="175">
        <v>360</v>
      </c>
      <c r="P25" s="175">
        <v>360</v>
      </c>
      <c r="Q25" s="175">
        <v>360</v>
      </c>
      <c r="R25" s="175">
        <v>360</v>
      </c>
      <c r="S25" s="175">
        <v>360</v>
      </c>
      <c r="T25" s="175">
        <v>360</v>
      </c>
      <c r="U25" s="175">
        <v>360</v>
      </c>
      <c r="V25" s="175">
        <v>360</v>
      </c>
      <c r="W25" s="881">
        <v>360</v>
      </c>
      <c r="X25" s="875" t="s">
        <v>1749</v>
      </c>
      <c r="Y25" s="883" t="s">
        <v>104</v>
      </c>
      <c r="Z25" s="49" t="s">
        <v>514</v>
      </c>
      <c r="AA25" s="48" t="s">
        <v>1744</v>
      </c>
      <c r="AB25" s="48" t="s">
        <v>1750</v>
      </c>
      <c r="AC25" s="624" t="s">
        <v>1749</v>
      </c>
      <c r="AD25" s="876" t="s">
        <v>1751</v>
      </c>
      <c r="AE25" s="882">
        <v>46192</v>
      </c>
      <c r="AF25" s="317">
        <v>46196</v>
      </c>
      <c r="AG25" s="211"/>
      <c r="AH25" s="211">
        <v>46217</v>
      </c>
      <c r="AI25" s="213" t="s">
        <v>1758</v>
      </c>
      <c r="AJ25" s="159" t="s">
        <v>1692</v>
      </c>
      <c r="AK25" s="3"/>
    </row>
    <row r="26" s="311" customFormat="1" ht="36" hidden="1" customHeight="1" spans="1:37">
      <c r="A26" s="208">
        <f t="shared" si="0"/>
        <v>23</v>
      </c>
      <c r="B26" s="48" t="s">
        <v>1746</v>
      </c>
      <c r="C26" s="49" t="s">
        <v>726</v>
      </c>
      <c r="D26" s="51" t="s">
        <v>1759</v>
      </c>
      <c r="E26" s="51" t="s">
        <v>1760</v>
      </c>
      <c r="F26" s="52">
        <v>46079</v>
      </c>
      <c r="G26" s="52">
        <v>46192</v>
      </c>
      <c r="H26" s="52">
        <v>46192</v>
      </c>
      <c r="I26" s="53">
        <v>46162</v>
      </c>
      <c r="J26" s="771">
        <f t="shared" si="9"/>
        <v>0</v>
      </c>
      <c r="K26" s="175">
        <v>48</v>
      </c>
      <c r="L26" s="175">
        <v>240</v>
      </c>
      <c r="M26" s="175">
        <v>240</v>
      </c>
      <c r="N26" s="175">
        <v>240</v>
      </c>
      <c r="O26" s="175">
        <v>240</v>
      </c>
      <c r="P26" s="175">
        <v>240</v>
      </c>
      <c r="Q26" s="175">
        <v>240</v>
      </c>
      <c r="R26" s="175">
        <v>240</v>
      </c>
      <c r="S26" s="175">
        <v>240</v>
      </c>
      <c r="T26" s="175">
        <v>240</v>
      </c>
      <c r="U26" s="175">
        <v>240</v>
      </c>
      <c r="V26" s="175">
        <v>240</v>
      </c>
      <c r="W26" s="881">
        <v>240</v>
      </c>
      <c r="X26" s="875" t="s">
        <v>1749</v>
      </c>
      <c r="Y26" s="883" t="s">
        <v>104</v>
      </c>
      <c r="Z26" s="49" t="s">
        <v>514</v>
      </c>
      <c r="AA26" s="48" t="s">
        <v>1744</v>
      </c>
      <c r="AB26" s="48" t="s">
        <v>1750</v>
      </c>
      <c r="AC26" s="624" t="s">
        <v>1749</v>
      </c>
      <c r="AD26" s="876" t="s">
        <v>1751</v>
      </c>
      <c r="AE26" s="882">
        <v>46192</v>
      </c>
      <c r="AF26" s="317">
        <v>46196</v>
      </c>
      <c r="AG26" s="211"/>
      <c r="AH26" s="211">
        <v>46217</v>
      </c>
      <c r="AI26" s="213" t="s">
        <v>1761</v>
      </c>
      <c r="AJ26" s="159" t="s">
        <v>1692</v>
      </c>
      <c r="AK26" s="3"/>
    </row>
    <row r="27" s="311" customFormat="1" ht="36" hidden="1" customHeight="1" spans="1:37">
      <c r="A27" s="208">
        <f t="shared" si="0"/>
        <v>24</v>
      </c>
      <c r="B27" s="48" t="s">
        <v>1746</v>
      </c>
      <c r="C27" s="49" t="s">
        <v>726</v>
      </c>
      <c r="D27" s="51" t="s">
        <v>1762</v>
      </c>
      <c r="E27" s="51" t="s">
        <v>1763</v>
      </c>
      <c r="F27" s="52">
        <v>46079</v>
      </c>
      <c r="G27" s="52">
        <v>46192</v>
      </c>
      <c r="H27" s="52">
        <v>46192</v>
      </c>
      <c r="I27" s="53">
        <v>46162</v>
      </c>
      <c r="J27" s="771">
        <f t="shared" si="9"/>
        <v>0</v>
      </c>
      <c r="K27" s="175">
        <v>48</v>
      </c>
      <c r="L27" s="175">
        <v>320</v>
      </c>
      <c r="M27" s="175">
        <v>320</v>
      </c>
      <c r="N27" s="175">
        <v>320</v>
      </c>
      <c r="O27" s="175">
        <v>320</v>
      </c>
      <c r="P27" s="175">
        <v>320</v>
      </c>
      <c r="Q27" s="175">
        <v>320</v>
      </c>
      <c r="R27" s="175">
        <v>320</v>
      </c>
      <c r="S27" s="175">
        <v>320</v>
      </c>
      <c r="T27" s="175">
        <v>320</v>
      </c>
      <c r="U27" s="175">
        <v>320</v>
      </c>
      <c r="V27" s="175">
        <v>320</v>
      </c>
      <c r="W27" s="881">
        <v>320</v>
      </c>
      <c r="X27" s="875" t="s">
        <v>1749</v>
      </c>
      <c r="Y27" s="883" t="s">
        <v>104</v>
      </c>
      <c r="Z27" s="49" t="s">
        <v>514</v>
      </c>
      <c r="AA27" s="48" t="s">
        <v>1744</v>
      </c>
      <c r="AB27" s="48" t="s">
        <v>1750</v>
      </c>
      <c r="AC27" s="624" t="s">
        <v>1749</v>
      </c>
      <c r="AD27" s="876" t="s">
        <v>1751</v>
      </c>
      <c r="AE27" s="882">
        <v>46192</v>
      </c>
      <c r="AF27" s="317">
        <v>46196</v>
      </c>
      <c r="AG27" s="211"/>
      <c r="AH27" s="211">
        <v>46217</v>
      </c>
      <c r="AI27" s="213" t="s">
        <v>1764</v>
      </c>
      <c r="AJ27" s="159" t="s">
        <v>1692</v>
      </c>
      <c r="AK27" s="3"/>
    </row>
    <row r="28" s="311" customFormat="1" ht="36" hidden="1" customHeight="1" spans="1:37">
      <c r="A28" s="208">
        <f t="shared" si="0"/>
        <v>25</v>
      </c>
      <c r="B28" s="48" t="s">
        <v>1746</v>
      </c>
      <c r="C28" s="49" t="s">
        <v>726</v>
      </c>
      <c r="D28" s="51" t="s">
        <v>1765</v>
      </c>
      <c r="E28" s="51" t="s">
        <v>1766</v>
      </c>
      <c r="F28" s="52">
        <v>46079</v>
      </c>
      <c r="G28" s="52">
        <v>46192</v>
      </c>
      <c r="H28" s="52">
        <v>46192</v>
      </c>
      <c r="I28" s="53">
        <v>46162</v>
      </c>
      <c r="J28" s="771">
        <f t="shared" si="9"/>
        <v>0</v>
      </c>
      <c r="K28" s="175">
        <v>48</v>
      </c>
      <c r="L28" s="175">
        <v>360</v>
      </c>
      <c r="M28" s="175">
        <v>360</v>
      </c>
      <c r="N28" s="175">
        <v>360</v>
      </c>
      <c r="O28" s="175">
        <v>360</v>
      </c>
      <c r="P28" s="175">
        <v>360</v>
      </c>
      <c r="Q28" s="175">
        <v>360</v>
      </c>
      <c r="R28" s="175">
        <v>360</v>
      </c>
      <c r="S28" s="175">
        <v>360</v>
      </c>
      <c r="T28" s="175">
        <v>360</v>
      </c>
      <c r="U28" s="175">
        <v>360</v>
      </c>
      <c r="V28" s="175">
        <v>360</v>
      </c>
      <c r="W28" s="881">
        <v>360</v>
      </c>
      <c r="X28" s="875" t="s">
        <v>1749</v>
      </c>
      <c r="Y28" s="883" t="s">
        <v>104</v>
      </c>
      <c r="Z28" s="49" t="s">
        <v>514</v>
      </c>
      <c r="AA28" s="48" t="s">
        <v>1744</v>
      </c>
      <c r="AB28" s="48" t="s">
        <v>1750</v>
      </c>
      <c r="AC28" s="624" t="s">
        <v>1749</v>
      </c>
      <c r="AD28" s="876" t="s">
        <v>1751</v>
      </c>
      <c r="AE28" s="882">
        <v>46192</v>
      </c>
      <c r="AF28" s="317">
        <v>46196</v>
      </c>
      <c r="AG28" s="211"/>
      <c r="AH28" s="211">
        <v>46217</v>
      </c>
      <c r="AI28" s="213" t="s">
        <v>1767</v>
      </c>
      <c r="AJ28" s="159" t="s">
        <v>1692</v>
      </c>
      <c r="AK28" s="3"/>
    </row>
    <row r="29" s="311" customFormat="1" ht="36" hidden="1" customHeight="1" spans="1:37">
      <c r="A29" s="215">
        <f t="shared" si="0"/>
        <v>26</v>
      </c>
      <c r="B29" s="667" t="s">
        <v>359</v>
      </c>
      <c r="C29" s="668" t="s">
        <v>360</v>
      </c>
      <c r="D29" s="669" t="s">
        <v>1768</v>
      </c>
      <c r="E29" s="669"/>
      <c r="F29" s="716">
        <v>46140</v>
      </c>
      <c r="G29" s="716">
        <v>46205</v>
      </c>
      <c r="H29" s="716">
        <v>46205</v>
      </c>
      <c r="I29" s="717">
        <v>46147</v>
      </c>
      <c r="J29" s="884">
        <f t="shared" si="9"/>
        <v>0</v>
      </c>
      <c r="K29" s="718">
        <v>48</v>
      </c>
      <c r="L29" s="718"/>
      <c r="M29" s="718"/>
      <c r="N29" s="718"/>
      <c r="O29" s="718"/>
      <c r="P29" s="718"/>
      <c r="Q29" s="718"/>
      <c r="R29" s="718"/>
      <c r="S29" s="718"/>
      <c r="T29" s="718"/>
      <c r="U29" s="718"/>
      <c r="V29" s="718"/>
      <c r="W29" s="885"/>
      <c r="X29" s="886" t="s">
        <v>757</v>
      </c>
      <c r="Y29" s="887" t="s">
        <v>104</v>
      </c>
      <c r="Z29" s="667" t="s">
        <v>1769</v>
      </c>
      <c r="AA29" s="667"/>
      <c r="AB29" s="667"/>
      <c r="AC29" s="726" t="s">
        <v>757</v>
      </c>
      <c r="AD29" s="888" t="s">
        <v>1770</v>
      </c>
      <c r="AE29" s="889">
        <v>46205</v>
      </c>
      <c r="AF29" s="724"/>
      <c r="AG29" s="724"/>
      <c r="AH29" s="724" t="s">
        <v>266</v>
      </c>
      <c r="AI29" s="725" t="s">
        <v>1771</v>
      </c>
      <c r="AJ29" s="3" t="s">
        <v>1692</v>
      </c>
      <c r="AK29" s="3"/>
    </row>
    <row r="30" s="311" customFormat="1" ht="36" hidden="1" customHeight="1" spans="1:37">
      <c r="A30" s="208">
        <f t="shared" si="0"/>
        <v>27</v>
      </c>
      <c r="B30" s="48" t="s">
        <v>1652</v>
      </c>
      <c r="C30" s="49" t="s">
        <v>77</v>
      </c>
      <c r="D30" s="51" t="s">
        <v>1772</v>
      </c>
      <c r="E30" s="51" t="s">
        <v>1773</v>
      </c>
      <c r="F30" s="52">
        <v>46141</v>
      </c>
      <c r="G30" s="52">
        <v>46225</v>
      </c>
      <c r="H30" s="52">
        <v>46225</v>
      </c>
      <c r="I30" s="53">
        <v>46177</v>
      </c>
      <c r="J30" s="771">
        <f t="shared" si="9"/>
        <v>0</v>
      </c>
      <c r="K30" s="175">
        <v>48</v>
      </c>
      <c r="L30" s="175">
        <v>600</v>
      </c>
      <c r="M30" s="175">
        <v>600</v>
      </c>
      <c r="N30" s="175">
        <v>600</v>
      </c>
      <c r="O30" s="175">
        <v>600</v>
      </c>
      <c r="P30" s="175">
        <v>600</v>
      </c>
      <c r="Q30" s="175">
        <v>600</v>
      </c>
      <c r="R30" s="175">
        <v>600</v>
      </c>
      <c r="S30" s="175">
        <v>600</v>
      </c>
      <c r="T30" s="175">
        <v>600</v>
      </c>
      <c r="U30" s="175">
        <v>600</v>
      </c>
      <c r="V30" s="175">
        <v>600</v>
      </c>
      <c r="W30" s="881">
        <v>600</v>
      </c>
      <c r="X30" s="875" t="s">
        <v>757</v>
      </c>
      <c r="Y30" s="49" t="s">
        <v>81</v>
      </c>
      <c r="Z30" s="48" t="s">
        <v>1629</v>
      </c>
      <c r="AA30" s="48" t="s">
        <v>1647</v>
      </c>
      <c r="AB30" s="48" t="s">
        <v>1206</v>
      </c>
      <c r="AC30" s="624" t="s">
        <v>757</v>
      </c>
      <c r="AD30" s="876" t="s">
        <v>1631</v>
      </c>
      <c r="AE30" s="882">
        <v>46225</v>
      </c>
      <c r="AF30" s="211">
        <v>46224</v>
      </c>
      <c r="AG30" s="211"/>
      <c r="AH30" s="211">
        <v>46247</v>
      </c>
      <c r="AI30" s="213" t="s">
        <v>1774</v>
      </c>
      <c r="AJ30" s="3" t="s">
        <v>1692</v>
      </c>
      <c r="AK30" s="3"/>
    </row>
    <row r="31" s="311" customFormat="1" ht="36" hidden="1" customHeight="1" spans="1:37">
      <c r="A31" s="208">
        <f t="shared" si="0"/>
        <v>28</v>
      </c>
      <c r="B31" s="48" t="s">
        <v>1652</v>
      </c>
      <c r="C31" s="49" t="s">
        <v>77</v>
      </c>
      <c r="D31" s="51" t="s">
        <v>1775</v>
      </c>
      <c r="E31" s="51" t="s">
        <v>1776</v>
      </c>
      <c r="F31" s="52">
        <v>46141</v>
      </c>
      <c r="G31" s="52">
        <v>46225</v>
      </c>
      <c r="H31" s="52">
        <v>46225</v>
      </c>
      <c r="I31" s="53">
        <v>46177</v>
      </c>
      <c r="J31" s="771">
        <f t="shared" si="9"/>
        <v>0</v>
      </c>
      <c r="K31" s="175">
        <v>48</v>
      </c>
      <c r="L31" s="175">
        <v>200</v>
      </c>
      <c r="M31" s="175">
        <v>200</v>
      </c>
      <c r="N31" s="175">
        <v>200</v>
      </c>
      <c r="O31" s="175">
        <v>200</v>
      </c>
      <c r="P31" s="175">
        <v>200</v>
      </c>
      <c r="Q31" s="175">
        <v>200</v>
      </c>
      <c r="R31" s="175">
        <v>200</v>
      </c>
      <c r="S31" s="175">
        <v>200</v>
      </c>
      <c r="T31" s="175">
        <v>200</v>
      </c>
      <c r="U31" s="175">
        <v>200</v>
      </c>
      <c r="V31" s="175">
        <v>200</v>
      </c>
      <c r="W31" s="881">
        <v>200</v>
      </c>
      <c r="X31" s="875" t="s">
        <v>757</v>
      </c>
      <c r="Y31" s="49" t="s">
        <v>81</v>
      </c>
      <c r="Z31" s="48" t="s">
        <v>1629</v>
      </c>
      <c r="AA31" s="48" t="s">
        <v>1647</v>
      </c>
      <c r="AB31" s="48" t="s">
        <v>1206</v>
      </c>
      <c r="AC31" s="624" t="s">
        <v>757</v>
      </c>
      <c r="AD31" s="876" t="s">
        <v>1631</v>
      </c>
      <c r="AE31" s="882">
        <v>46225</v>
      </c>
      <c r="AF31" s="211">
        <v>46224</v>
      </c>
      <c r="AG31" s="211"/>
      <c r="AH31" s="211">
        <v>46247</v>
      </c>
      <c r="AI31" s="213" t="s">
        <v>1777</v>
      </c>
      <c r="AJ31" s="3" t="s">
        <v>1692</v>
      </c>
      <c r="AK31" s="3"/>
    </row>
    <row r="32" s="311" customFormat="1" ht="36" hidden="1" customHeight="1" spans="1:37">
      <c r="A32" s="208">
        <f t="shared" si="0"/>
        <v>29</v>
      </c>
      <c r="B32" s="48" t="s">
        <v>1652</v>
      </c>
      <c r="C32" s="49" t="s">
        <v>77</v>
      </c>
      <c r="D32" s="51" t="s">
        <v>1778</v>
      </c>
      <c r="E32" s="51" t="s">
        <v>1779</v>
      </c>
      <c r="F32" s="52">
        <v>46141</v>
      </c>
      <c r="G32" s="52">
        <v>46225</v>
      </c>
      <c r="H32" s="52">
        <v>46225</v>
      </c>
      <c r="I32" s="53">
        <v>46164</v>
      </c>
      <c r="J32" s="771">
        <f t="shared" si="9"/>
        <v>0</v>
      </c>
      <c r="K32" s="175">
        <v>48</v>
      </c>
      <c r="L32" s="175">
        <v>200</v>
      </c>
      <c r="M32" s="175">
        <v>200</v>
      </c>
      <c r="N32" s="175">
        <v>200</v>
      </c>
      <c r="O32" s="175">
        <v>200</v>
      </c>
      <c r="P32" s="175">
        <v>200</v>
      </c>
      <c r="Q32" s="175">
        <v>200</v>
      </c>
      <c r="R32" s="175">
        <v>200</v>
      </c>
      <c r="S32" s="175">
        <v>200</v>
      </c>
      <c r="T32" s="175">
        <v>200</v>
      </c>
      <c r="U32" s="175">
        <v>200</v>
      </c>
      <c r="V32" s="175">
        <v>200</v>
      </c>
      <c r="W32" s="881">
        <v>200</v>
      </c>
      <c r="X32" s="875" t="s">
        <v>757</v>
      </c>
      <c r="Y32" s="49" t="s">
        <v>81</v>
      </c>
      <c r="Z32" s="48" t="s">
        <v>1629</v>
      </c>
      <c r="AA32" s="48" t="s">
        <v>1647</v>
      </c>
      <c r="AB32" s="48" t="s">
        <v>1206</v>
      </c>
      <c r="AC32" s="624" t="s">
        <v>757</v>
      </c>
      <c r="AD32" s="876" t="s">
        <v>1631</v>
      </c>
      <c r="AE32" s="882">
        <v>46225</v>
      </c>
      <c r="AF32" s="211">
        <v>46224</v>
      </c>
      <c r="AG32" s="211"/>
      <c r="AH32" s="211">
        <v>46247</v>
      </c>
      <c r="AI32" s="213" t="s">
        <v>1780</v>
      </c>
      <c r="AJ32" s="3" t="s">
        <v>1692</v>
      </c>
      <c r="AK32" s="3"/>
    </row>
    <row r="33" s="311" customFormat="1" ht="36" hidden="1" customHeight="1" spans="1:37">
      <c r="A33" s="215">
        <f t="shared" si="0"/>
        <v>30</v>
      </c>
      <c r="B33" s="667" t="s">
        <v>1546</v>
      </c>
      <c r="C33" s="668" t="s">
        <v>466</v>
      </c>
      <c r="D33" s="669" t="s">
        <v>1781</v>
      </c>
      <c r="E33" s="669" t="s">
        <v>1555</v>
      </c>
      <c r="F33" s="716">
        <v>46132</v>
      </c>
      <c r="G33" s="716">
        <v>46231</v>
      </c>
      <c r="H33" s="716">
        <v>46231</v>
      </c>
      <c r="I33" s="717">
        <v>46190</v>
      </c>
      <c r="J33" s="884">
        <f t="shared" si="9"/>
        <v>0</v>
      </c>
      <c r="K33" s="718">
        <v>48</v>
      </c>
      <c r="L33" s="718"/>
      <c r="M33" s="718"/>
      <c r="N33" s="718"/>
      <c r="O33" s="718"/>
      <c r="P33" s="718"/>
      <c r="Q33" s="718"/>
      <c r="R33" s="718"/>
      <c r="S33" s="718"/>
      <c r="T33" s="718"/>
      <c r="U33" s="718"/>
      <c r="V33" s="718"/>
      <c r="W33" s="885"/>
      <c r="X33" s="890" t="s">
        <v>757</v>
      </c>
      <c r="Y33" s="668" t="s">
        <v>81</v>
      </c>
      <c r="Z33" s="667" t="s">
        <v>168</v>
      </c>
      <c r="AA33" s="667" t="s">
        <v>607</v>
      </c>
      <c r="AB33" s="667"/>
      <c r="AC33" s="726" t="s">
        <v>757</v>
      </c>
      <c r="AD33" s="891"/>
      <c r="AE33" s="889">
        <v>46231</v>
      </c>
      <c r="AF33" s="724"/>
      <c r="AG33" s="724"/>
      <c r="AH33" s="724" t="s">
        <v>266</v>
      </c>
      <c r="AI33" s="725">
        <v>1901605</v>
      </c>
      <c r="AJ33" s="3" t="s">
        <v>1692</v>
      </c>
      <c r="AK33" s="3" t="s">
        <v>1782</v>
      </c>
    </row>
    <row r="34" s="311" customFormat="1" ht="36" hidden="1" customHeight="1" spans="1:37">
      <c r="A34" s="215">
        <f t="shared" si="0"/>
        <v>31</v>
      </c>
      <c r="B34" s="667" t="s">
        <v>1546</v>
      </c>
      <c r="C34" s="668" t="s">
        <v>466</v>
      </c>
      <c r="D34" s="669" t="s">
        <v>1783</v>
      </c>
      <c r="E34" s="669" t="s">
        <v>1558</v>
      </c>
      <c r="F34" s="716">
        <v>46132</v>
      </c>
      <c r="G34" s="716">
        <v>46231</v>
      </c>
      <c r="H34" s="716">
        <v>46231</v>
      </c>
      <c r="I34" s="717">
        <v>46190</v>
      </c>
      <c r="J34" s="884">
        <f t="shared" si="9"/>
        <v>0</v>
      </c>
      <c r="K34" s="718">
        <v>48</v>
      </c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885"/>
      <c r="X34" s="890" t="s">
        <v>757</v>
      </c>
      <c r="Y34" s="668" t="s">
        <v>81</v>
      </c>
      <c r="Z34" s="667" t="s">
        <v>168</v>
      </c>
      <c r="AA34" s="667" t="s">
        <v>607</v>
      </c>
      <c r="AB34" s="667"/>
      <c r="AC34" s="726" t="s">
        <v>757</v>
      </c>
      <c r="AD34" s="891"/>
      <c r="AE34" s="889">
        <v>46231</v>
      </c>
      <c r="AF34" s="724"/>
      <c r="AG34" s="724"/>
      <c r="AH34" s="724" t="s">
        <v>266</v>
      </c>
      <c r="AI34" s="725" t="s">
        <v>1784</v>
      </c>
      <c r="AJ34" s="3" t="s">
        <v>1692</v>
      </c>
      <c r="AK34" s="3" t="s">
        <v>1782</v>
      </c>
    </row>
    <row r="35" s="311" customFormat="1" ht="36" hidden="1" customHeight="1" spans="1:37">
      <c r="A35" s="215">
        <f t="shared" si="0"/>
        <v>32</v>
      </c>
      <c r="B35" s="892" t="s">
        <v>440</v>
      </c>
      <c r="C35" s="893" t="s">
        <v>114</v>
      </c>
      <c r="D35" s="894" t="s">
        <v>1785</v>
      </c>
      <c r="E35" s="894" t="s">
        <v>610</v>
      </c>
      <c r="F35" s="895">
        <v>46154</v>
      </c>
      <c r="G35" s="895">
        <v>46248</v>
      </c>
      <c r="H35" s="895">
        <v>46248</v>
      </c>
      <c r="I35" s="896">
        <v>46185</v>
      </c>
      <c r="J35" s="897">
        <f t="shared" si="9"/>
        <v>0</v>
      </c>
      <c r="K35" s="898">
        <v>48</v>
      </c>
      <c r="L35" s="898"/>
      <c r="M35" s="898"/>
      <c r="N35" s="898"/>
      <c r="O35" s="898"/>
      <c r="P35" s="898"/>
      <c r="Q35" s="898"/>
      <c r="R35" s="898"/>
      <c r="S35" s="898"/>
      <c r="T35" s="898"/>
      <c r="U35" s="898"/>
      <c r="V35" s="898"/>
      <c r="W35" s="899"/>
      <c r="X35" s="900"/>
      <c r="Y35" s="901"/>
      <c r="Z35" s="892"/>
      <c r="AA35" s="892"/>
      <c r="AB35" s="892"/>
      <c r="AC35" s="902"/>
      <c r="AD35" s="903"/>
      <c r="AE35" s="904">
        <v>46248</v>
      </c>
      <c r="AF35" s="905"/>
      <c r="AG35" s="905"/>
      <c r="AH35" s="724" t="s">
        <v>266</v>
      </c>
      <c r="AI35" s="906" t="s">
        <v>1786</v>
      </c>
      <c r="AJ35" s="3" t="s">
        <v>1692</v>
      </c>
      <c r="AK35" s="159" t="s">
        <v>1787</v>
      </c>
    </row>
    <row r="36" s="311" customFormat="1" ht="36" hidden="1" customHeight="1" spans="1:37">
      <c r="A36" s="215">
        <f t="shared" si="0"/>
        <v>33</v>
      </c>
      <c r="B36" s="892" t="s">
        <v>440</v>
      </c>
      <c r="C36" s="893" t="s">
        <v>114</v>
      </c>
      <c r="D36" s="894" t="s">
        <v>1788</v>
      </c>
      <c r="E36" s="894" t="s">
        <v>610</v>
      </c>
      <c r="F36" s="895">
        <v>46178</v>
      </c>
      <c r="G36" s="895">
        <v>46248</v>
      </c>
      <c r="H36" s="895">
        <v>46248</v>
      </c>
      <c r="I36" s="896">
        <v>46185</v>
      </c>
      <c r="J36" s="897">
        <f t="shared" si="9"/>
        <v>0</v>
      </c>
      <c r="K36" s="898">
        <v>48</v>
      </c>
      <c r="L36" s="898"/>
      <c r="M36" s="898"/>
      <c r="N36" s="898"/>
      <c r="O36" s="898"/>
      <c r="P36" s="898"/>
      <c r="Q36" s="898"/>
      <c r="R36" s="898"/>
      <c r="S36" s="898"/>
      <c r="T36" s="898"/>
      <c r="U36" s="898"/>
      <c r="V36" s="898"/>
      <c r="W36" s="899"/>
      <c r="X36" s="900"/>
      <c r="Y36" s="901"/>
      <c r="Z36" s="892"/>
      <c r="AA36" s="892"/>
      <c r="AB36" s="892"/>
      <c r="AC36" s="902"/>
      <c r="AD36" s="903"/>
      <c r="AE36" s="904">
        <v>46248</v>
      </c>
      <c r="AF36" s="905"/>
      <c r="AG36" s="905"/>
      <c r="AH36" s="724" t="s">
        <v>266</v>
      </c>
      <c r="AI36" s="906" t="s">
        <v>1789</v>
      </c>
      <c r="AJ36" s="3" t="s">
        <v>1692</v>
      </c>
      <c r="AK36" s="159" t="s">
        <v>1787</v>
      </c>
    </row>
    <row r="37" s="311" customFormat="1" ht="36" hidden="1" customHeight="1" spans="1:37">
      <c r="A37" s="208">
        <f t="shared" si="0"/>
        <v>34</v>
      </c>
      <c r="B37" s="48" t="s">
        <v>440</v>
      </c>
      <c r="C37" s="49" t="s">
        <v>114</v>
      </c>
      <c r="D37" s="51" t="s">
        <v>1790</v>
      </c>
      <c r="E37" s="51" t="s">
        <v>1791</v>
      </c>
      <c r="F37" s="52">
        <v>46203</v>
      </c>
      <c r="G37" s="52">
        <v>46248</v>
      </c>
      <c r="H37" s="52">
        <v>46248</v>
      </c>
      <c r="I37" s="53">
        <v>46212</v>
      </c>
      <c r="J37" s="771">
        <f t="shared" si="9"/>
        <v>0</v>
      </c>
      <c r="K37" s="175">
        <v>48</v>
      </c>
      <c r="L37" s="175">
        <v>360</v>
      </c>
      <c r="M37" s="175">
        <v>360</v>
      </c>
      <c r="N37" s="175">
        <v>360</v>
      </c>
      <c r="O37" s="175">
        <v>360</v>
      </c>
      <c r="P37" s="175">
        <v>360</v>
      </c>
      <c r="Q37" s="175">
        <v>360</v>
      </c>
      <c r="R37" s="175">
        <v>360</v>
      </c>
      <c r="S37" s="175">
        <v>360</v>
      </c>
      <c r="T37" s="175">
        <v>360</v>
      </c>
      <c r="U37" s="175">
        <v>360</v>
      </c>
      <c r="V37" s="175">
        <v>360</v>
      </c>
      <c r="W37" s="881">
        <v>360</v>
      </c>
      <c r="X37" s="875" t="s">
        <v>1600</v>
      </c>
      <c r="Y37" s="907" t="s">
        <v>104</v>
      </c>
      <c r="Z37" s="48" t="s">
        <v>375</v>
      </c>
      <c r="AA37" s="48" t="s">
        <v>607</v>
      </c>
      <c r="AB37" s="48" t="s">
        <v>607</v>
      </c>
      <c r="AC37" s="624" t="s">
        <v>1600</v>
      </c>
      <c r="AD37" s="876" t="s">
        <v>1792</v>
      </c>
      <c r="AE37" s="882">
        <v>46248</v>
      </c>
      <c r="AF37" s="317">
        <v>46252</v>
      </c>
      <c r="AG37" s="211"/>
      <c r="AH37" s="211">
        <v>46256</v>
      </c>
      <c r="AI37" s="213" t="s">
        <v>1793</v>
      </c>
      <c r="AJ37" s="908" t="s">
        <v>1692</v>
      </c>
      <c r="AK37" s="3" t="s">
        <v>1794</v>
      </c>
    </row>
    <row r="38" s="311" customFormat="1" ht="36" hidden="1" customHeight="1" spans="1:37">
      <c r="A38" s="208">
        <f t="shared" si="0"/>
        <v>35</v>
      </c>
      <c r="B38" s="48" t="s">
        <v>440</v>
      </c>
      <c r="C38" s="49" t="s">
        <v>114</v>
      </c>
      <c r="D38" s="51" t="s">
        <v>1790</v>
      </c>
      <c r="E38" s="51" t="s">
        <v>1791</v>
      </c>
      <c r="F38" s="52">
        <v>46203</v>
      </c>
      <c r="G38" s="52">
        <v>46248</v>
      </c>
      <c r="H38" s="52">
        <v>46248</v>
      </c>
      <c r="I38" s="53">
        <v>46212</v>
      </c>
      <c r="J38" s="771">
        <f t="shared" si="9"/>
        <v>0</v>
      </c>
      <c r="K38" s="175">
        <v>48</v>
      </c>
      <c r="L38" s="175">
        <v>676</v>
      </c>
      <c r="M38" s="175">
        <v>676</v>
      </c>
      <c r="N38" s="175">
        <v>676</v>
      </c>
      <c r="O38" s="175">
        <v>676</v>
      </c>
      <c r="P38" s="175">
        <v>676</v>
      </c>
      <c r="Q38" s="175">
        <v>676</v>
      </c>
      <c r="R38" s="175">
        <v>676</v>
      </c>
      <c r="S38" s="175">
        <v>676</v>
      </c>
      <c r="T38" s="175">
        <v>676</v>
      </c>
      <c r="U38" s="175">
        <v>676</v>
      </c>
      <c r="V38" s="175">
        <v>676</v>
      </c>
      <c r="W38" s="881">
        <v>676</v>
      </c>
      <c r="X38" s="875" t="s">
        <v>1600</v>
      </c>
      <c r="Y38" s="907" t="s">
        <v>104</v>
      </c>
      <c r="Z38" s="48" t="s">
        <v>375</v>
      </c>
      <c r="AA38" s="48" t="s">
        <v>607</v>
      </c>
      <c r="AB38" s="48" t="s">
        <v>607</v>
      </c>
      <c r="AC38" s="624" t="s">
        <v>1600</v>
      </c>
      <c r="AD38" s="876" t="s">
        <v>1792</v>
      </c>
      <c r="AE38" s="882">
        <v>46248</v>
      </c>
      <c r="AF38" s="317">
        <v>46252</v>
      </c>
      <c r="AG38" s="211"/>
      <c r="AH38" s="211">
        <v>46256</v>
      </c>
      <c r="AI38" s="213" t="s">
        <v>1795</v>
      </c>
      <c r="AJ38" s="908" t="s">
        <v>1692</v>
      </c>
      <c r="AK38" s="3" t="s">
        <v>1794</v>
      </c>
    </row>
    <row r="39" s="311" customFormat="1" ht="36" customHeight="1" spans="1:37">
      <c r="A39" s="49">
        <f t="shared" si="0"/>
        <v>36</v>
      </c>
      <c r="B39" s="48" t="s">
        <v>440</v>
      </c>
      <c r="C39" s="49" t="s">
        <v>114</v>
      </c>
      <c r="D39" s="51" t="s">
        <v>612</v>
      </c>
      <c r="E39" s="51" t="s">
        <v>613</v>
      </c>
      <c r="F39" s="52">
        <v>46203</v>
      </c>
      <c r="G39" s="52">
        <v>46276</v>
      </c>
      <c r="H39" s="52">
        <v>46276</v>
      </c>
      <c r="I39" s="53">
        <v>46212</v>
      </c>
      <c r="J39" s="771">
        <f t="shared" si="9"/>
        <v>8112</v>
      </c>
      <c r="K39" s="175">
        <v>48</v>
      </c>
      <c r="L39" s="175">
        <v>676</v>
      </c>
      <c r="M39" s="175">
        <v>676</v>
      </c>
      <c r="N39" s="175">
        <v>676</v>
      </c>
      <c r="O39" s="175">
        <v>676</v>
      </c>
      <c r="P39" s="175">
        <v>676</v>
      </c>
      <c r="Q39" s="175">
        <v>676</v>
      </c>
      <c r="R39" s="175">
        <v>676</v>
      </c>
      <c r="S39" s="175">
        <v>676</v>
      </c>
      <c r="T39" s="175">
        <v>676</v>
      </c>
      <c r="U39" s="175">
        <v>676</v>
      </c>
      <c r="V39" s="175">
        <v>676</v>
      </c>
      <c r="W39" s="175">
        <v>676</v>
      </c>
      <c r="X39" s="48" t="s">
        <v>1600</v>
      </c>
      <c r="Y39" s="907" t="s">
        <v>104</v>
      </c>
      <c r="Z39" s="48" t="s">
        <v>375</v>
      </c>
      <c r="AA39" s="48" t="s">
        <v>1660</v>
      </c>
      <c r="AB39" s="48" t="s">
        <v>607</v>
      </c>
      <c r="AC39" s="48" t="s">
        <v>1600</v>
      </c>
      <c r="AD39" s="48" t="s">
        <v>1792</v>
      </c>
      <c r="AE39" s="176">
        <v>46276</v>
      </c>
      <c r="AF39" s="211">
        <v>46275</v>
      </c>
      <c r="AG39" s="211"/>
      <c r="AH39" s="211"/>
      <c r="AI39" s="710" t="s">
        <v>1796</v>
      </c>
      <c r="AJ39" s="908" t="s">
        <v>1692</v>
      </c>
      <c r="AK39" s="3" t="s">
        <v>1794</v>
      </c>
    </row>
    <row r="40" s="3" customFormat="1" ht="30.95" customHeight="1" spans="1:37">
      <c r="A40" s="49">
        <f t="shared" si="0"/>
        <v>37</v>
      </c>
      <c r="B40" s="48" t="s">
        <v>440</v>
      </c>
      <c r="C40" s="49" t="s">
        <v>114</v>
      </c>
      <c r="D40" s="51" t="s">
        <v>612</v>
      </c>
      <c r="E40" s="50" t="s">
        <v>613</v>
      </c>
      <c r="F40" s="52">
        <v>46203</v>
      </c>
      <c r="G40" s="52">
        <v>46276</v>
      </c>
      <c r="H40" s="52">
        <v>46276</v>
      </c>
      <c r="I40" s="53">
        <v>46212</v>
      </c>
      <c r="J40" s="771">
        <f t="shared" si="9"/>
        <v>4320</v>
      </c>
      <c r="K40" s="175">
        <v>48</v>
      </c>
      <c r="L40" s="175">
        <v>360</v>
      </c>
      <c r="M40" s="175">
        <v>360</v>
      </c>
      <c r="N40" s="175">
        <v>360</v>
      </c>
      <c r="O40" s="175">
        <v>360</v>
      </c>
      <c r="P40" s="175">
        <v>360</v>
      </c>
      <c r="Q40" s="175">
        <v>360</v>
      </c>
      <c r="R40" s="175">
        <v>360</v>
      </c>
      <c r="S40" s="175">
        <v>360</v>
      </c>
      <c r="T40" s="175">
        <v>360</v>
      </c>
      <c r="U40" s="175">
        <v>360</v>
      </c>
      <c r="V40" s="175">
        <v>360</v>
      </c>
      <c r="W40" s="175">
        <v>360</v>
      </c>
      <c r="X40" s="48" t="s">
        <v>1600</v>
      </c>
      <c r="Y40" s="907" t="s">
        <v>104</v>
      </c>
      <c r="Z40" s="48" t="s">
        <v>375</v>
      </c>
      <c r="AA40" s="48" t="s">
        <v>1660</v>
      </c>
      <c r="AB40" s="48" t="s">
        <v>607</v>
      </c>
      <c r="AC40" s="48" t="s">
        <v>1600</v>
      </c>
      <c r="AD40" s="48" t="s">
        <v>1792</v>
      </c>
      <c r="AE40" s="176">
        <v>46276</v>
      </c>
      <c r="AF40" s="211">
        <v>46275</v>
      </c>
      <c r="AG40" s="176"/>
      <c r="AH40" s="176"/>
      <c r="AI40" s="710" t="s">
        <v>1797</v>
      </c>
      <c r="AJ40" s="908" t="s">
        <v>1692</v>
      </c>
      <c r="AK40" s="3" t="s">
        <v>1794</v>
      </c>
    </row>
    <row r="41" s="311" customFormat="1" ht="36" customHeight="1" spans="1:37">
      <c r="A41" s="49">
        <f t="shared" si="0"/>
        <v>38</v>
      </c>
      <c r="B41" s="48" t="s">
        <v>440</v>
      </c>
      <c r="C41" s="49" t="s">
        <v>114</v>
      </c>
      <c r="D41" s="51" t="s">
        <v>1798</v>
      </c>
      <c r="E41" s="909" t="s">
        <v>1799</v>
      </c>
      <c r="F41" s="52">
        <v>46178</v>
      </c>
      <c r="G41" s="52">
        <v>46276</v>
      </c>
      <c r="H41" s="52">
        <v>46276</v>
      </c>
      <c r="I41" s="53">
        <v>46259</v>
      </c>
      <c r="J41" s="771">
        <f t="shared" si="9"/>
        <v>3360</v>
      </c>
      <c r="K41" s="175">
        <v>48</v>
      </c>
      <c r="L41" s="175">
        <v>280</v>
      </c>
      <c r="M41" s="175">
        <v>280</v>
      </c>
      <c r="N41" s="175">
        <v>280</v>
      </c>
      <c r="O41" s="175">
        <v>280</v>
      </c>
      <c r="P41" s="175">
        <v>280</v>
      </c>
      <c r="Q41" s="175">
        <v>280</v>
      </c>
      <c r="R41" s="175">
        <v>280</v>
      </c>
      <c r="S41" s="175">
        <v>280</v>
      </c>
      <c r="T41" s="175">
        <v>280</v>
      </c>
      <c r="U41" s="175">
        <v>280</v>
      </c>
      <c r="V41" s="175">
        <v>280</v>
      </c>
      <c r="W41" s="175">
        <v>280</v>
      </c>
      <c r="X41" s="48" t="s">
        <v>1600</v>
      </c>
      <c r="Y41" s="907" t="s">
        <v>104</v>
      </c>
      <c r="Z41" s="48" t="s">
        <v>375</v>
      </c>
      <c r="AA41" s="48" t="s">
        <v>1660</v>
      </c>
      <c r="AB41" s="48" t="s">
        <v>607</v>
      </c>
      <c r="AC41" s="48" t="s">
        <v>1600</v>
      </c>
      <c r="AD41" s="48" t="s">
        <v>1800</v>
      </c>
      <c r="AE41" s="176">
        <v>46276</v>
      </c>
      <c r="AF41" s="211">
        <v>46275</v>
      </c>
      <c r="AG41" s="176"/>
      <c r="AH41" s="211"/>
      <c r="AI41" s="710" t="s">
        <v>1801</v>
      </c>
      <c r="AJ41" s="908" t="s">
        <v>1692</v>
      </c>
      <c r="AK41" s="3" t="s">
        <v>1802</v>
      </c>
    </row>
    <row r="42" s="311" customFormat="1" ht="36" customHeight="1" spans="1:37">
      <c r="A42" s="49">
        <f t="shared" si="0"/>
        <v>39</v>
      </c>
      <c r="B42" s="48" t="s">
        <v>440</v>
      </c>
      <c r="C42" s="49" t="s">
        <v>114</v>
      </c>
      <c r="D42" s="51" t="s">
        <v>1798</v>
      </c>
      <c r="E42" s="909" t="s">
        <v>1799</v>
      </c>
      <c r="F42" s="52">
        <v>46178</v>
      </c>
      <c r="G42" s="52">
        <v>46276</v>
      </c>
      <c r="H42" s="52">
        <v>46276</v>
      </c>
      <c r="I42" s="53">
        <v>46259</v>
      </c>
      <c r="J42" s="771">
        <f t="shared" si="9"/>
        <v>2256</v>
      </c>
      <c r="K42" s="175">
        <v>48</v>
      </c>
      <c r="L42" s="175">
        <v>188</v>
      </c>
      <c r="M42" s="175">
        <v>188</v>
      </c>
      <c r="N42" s="175">
        <v>188</v>
      </c>
      <c r="O42" s="175">
        <v>188</v>
      </c>
      <c r="P42" s="175">
        <v>188</v>
      </c>
      <c r="Q42" s="175">
        <v>188</v>
      </c>
      <c r="R42" s="175">
        <v>188</v>
      </c>
      <c r="S42" s="175">
        <v>188</v>
      </c>
      <c r="T42" s="175">
        <v>188</v>
      </c>
      <c r="U42" s="175">
        <v>188</v>
      </c>
      <c r="V42" s="175">
        <v>188</v>
      </c>
      <c r="W42" s="175">
        <v>188</v>
      </c>
      <c r="X42" s="48" t="s">
        <v>1600</v>
      </c>
      <c r="Y42" s="907" t="s">
        <v>104</v>
      </c>
      <c r="Z42" s="48" t="s">
        <v>375</v>
      </c>
      <c r="AA42" s="48" t="s">
        <v>1660</v>
      </c>
      <c r="AB42" s="48" t="s">
        <v>607</v>
      </c>
      <c r="AC42" s="48" t="s">
        <v>1600</v>
      </c>
      <c r="AD42" s="48" t="s">
        <v>1800</v>
      </c>
      <c r="AE42" s="176">
        <v>46276</v>
      </c>
      <c r="AF42" s="211">
        <v>46275</v>
      </c>
      <c r="AG42" s="211"/>
      <c r="AH42" s="211"/>
      <c r="AI42" s="710" t="s">
        <v>1803</v>
      </c>
      <c r="AJ42" s="908" t="s">
        <v>1692</v>
      </c>
      <c r="AK42" s="3" t="s">
        <v>1802</v>
      </c>
    </row>
    <row r="43" s="311" customFormat="1" ht="36" customHeight="1" spans="1:37">
      <c r="A43" s="96">
        <f t="shared" si="0"/>
        <v>40</v>
      </c>
      <c r="B43" s="183" t="s">
        <v>440</v>
      </c>
      <c r="C43" s="96" t="s">
        <v>114</v>
      </c>
      <c r="D43" s="573" t="s">
        <v>1804</v>
      </c>
      <c r="E43" s="910" t="s">
        <v>1805</v>
      </c>
      <c r="F43" s="217">
        <v>46178</v>
      </c>
      <c r="G43" s="217">
        <v>46276</v>
      </c>
      <c r="H43" s="217">
        <v>46276</v>
      </c>
      <c r="I43" s="218">
        <v>46259</v>
      </c>
      <c r="J43" s="282">
        <f t="shared" si="9"/>
        <v>3360</v>
      </c>
      <c r="K43" s="95">
        <v>48</v>
      </c>
      <c r="L43" s="95">
        <v>280</v>
      </c>
      <c r="M43" s="95">
        <v>280</v>
      </c>
      <c r="N43" s="95">
        <v>280</v>
      </c>
      <c r="O43" s="95">
        <v>280</v>
      </c>
      <c r="P43" s="95">
        <v>280</v>
      </c>
      <c r="Q43" s="95">
        <v>280</v>
      </c>
      <c r="R43" s="95">
        <v>280</v>
      </c>
      <c r="S43" s="95">
        <v>280</v>
      </c>
      <c r="T43" s="95">
        <v>280</v>
      </c>
      <c r="U43" s="95">
        <v>280</v>
      </c>
      <c r="V43" s="95">
        <v>280</v>
      </c>
      <c r="W43" s="95">
        <v>280</v>
      </c>
      <c r="X43" s="911" t="s">
        <v>1600</v>
      </c>
      <c r="Y43" s="912" t="s">
        <v>104</v>
      </c>
      <c r="Z43" s="183" t="s">
        <v>375</v>
      </c>
      <c r="AA43" s="183" t="s">
        <v>1660</v>
      </c>
      <c r="AB43" s="183" t="s">
        <v>607</v>
      </c>
      <c r="AC43" s="183" t="s">
        <v>1600</v>
      </c>
      <c r="AD43" s="183" t="s">
        <v>1800</v>
      </c>
      <c r="AE43" s="280">
        <v>46276</v>
      </c>
      <c r="AF43" s="795">
        <v>46282</v>
      </c>
      <c r="AG43" s="794"/>
      <c r="AH43" s="279"/>
      <c r="AI43" s="913" t="s">
        <v>1806</v>
      </c>
      <c r="AJ43" s="908" t="s">
        <v>1692</v>
      </c>
      <c r="AK43" s="3" t="s">
        <v>1802</v>
      </c>
    </row>
    <row r="44" s="3" customFormat="1" ht="36" customHeight="1" spans="1:37">
      <c r="A44" s="49">
        <f t="shared" si="0"/>
        <v>41</v>
      </c>
      <c r="B44" s="48" t="s">
        <v>1663</v>
      </c>
      <c r="C44" s="49" t="s">
        <v>77</v>
      </c>
      <c r="D44" s="51" t="s">
        <v>1667</v>
      </c>
      <c r="E44" s="50" t="s">
        <v>1668</v>
      </c>
      <c r="F44" s="52">
        <v>46168</v>
      </c>
      <c r="G44" s="52">
        <v>46280</v>
      </c>
      <c r="H44" s="52">
        <v>46277</v>
      </c>
      <c r="I44" s="53">
        <v>46219</v>
      </c>
      <c r="J44" s="771">
        <f t="shared" si="9"/>
        <v>16176</v>
      </c>
      <c r="K44" s="175">
        <v>48</v>
      </c>
      <c r="L44" s="175">
        <v>1348</v>
      </c>
      <c r="M44" s="175">
        <v>1348</v>
      </c>
      <c r="N44" s="175">
        <v>1348</v>
      </c>
      <c r="O44" s="175">
        <v>1348</v>
      </c>
      <c r="P44" s="175">
        <v>1348</v>
      </c>
      <c r="Q44" s="175">
        <v>1348</v>
      </c>
      <c r="R44" s="175">
        <v>1348</v>
      </c>
      <c r="S44" s="175">
        <v>1348</v>
      </c>
      <c r="T44" s="175">
        <v>1348</v>
      </c>
      <c r="U44" s="175">
        <v>1348</v>
      </c>
      <c r="V44" s="175">
        <v>1348</v>
      </c>
      <c r="W44" s="175">
        <v>1348</v>
      </c>
      <c r="X44" s="883" t="s">
        <v>757</v>
      </c>
      <c r="Y44" s="907" t="s">
        <v>81</v>
      </c>
      <c r="Z44" s="211" t="s">
        <v>1807</v>
      </c>
      <c r="AA44" s="48" t="s">
        <v>1660</v>
      </c>
      <c r="AB44" s="48" t="s">
        <v>1660</v>
      </c>
      <c r="AC44" s="914" t="s">
        <v>757</v>
      </c>
      <c r="AD44" s="48" t="s">
        <v>1631</v>
      </c>
      <c r="AE44" s="176">
        <v>46277</v>
      </c>
      <c r="AF44" s="211">
        <v>46275</v>
      </c>
      <c r="AG44" s="176"/>
      <c r="AH44" s="176"/>
      <c r="AI44" s="710" t="s">
        <v>1808</v>
      </c>
      <c r="AJ44" s="908" t="s">
        <v>1692</v>
      </c>
      <c r="AK44" s="3" t="s">
        <v>1794</v>
      </c>
    </row>
    <row r="45" s="3" customFormat="1" ht="39" customHeight="1" spans="1:37">
      <c r="A45" s="49">
        <f t="shared" si="0"/>
        <v>42</v>
      </c>
      <c r="B45" s="48" t="s">
        <v>1656</v>
      </c>
      <c r="C45" s="49" t="s">
        <v>77</v>
      </c>
      <c r="D45" s="51" t="s">
        <v>1670</v>
      </c>
      <c r="E45" s="50" t="s">
        <v>1671</v>
      </c>
      <c r="F45" s="52">
        <v>46168</v>
      </c>
      <c r="G45" s="52">
        <v>46280</v>
      </c>
      <c r="H45" s="52">
        <v>46280</v>
      </c>
      <c r="I45" s="53">
        <v>46219</v>
      </c>
      <c r="J45" s="771">
        <f t="shared" si="9"/>
        <v>19824</v>
      </c>
      <c r="K45" s="175">
        <v>48</v>
      </c>
      <c r="L45" s="175">
        <v>1652</v>
      </c>
      <c r="M45" s="175">
        <v>1652</v>
      </c>
      <c r="N45" s="175">
        <v>1652</v>
      </c>
      <c r="O45" s="175">
        <v>1652</v>
      </c>
      <c r="P45" s="175">
        <v>1652</v>
      </c>
      <c r="Q45" s="175">
        <v>1652</v>
      </c>
      <c r="R45" s="175">
        <v>1652</v>
      </c>
      <c r="S45" s="175">
        <v>1652</v>
      </c>
      <c r="T45" s="175">
        <v>1652</v>
      </c>
      <c r="U45" s="175">
        <v>1652</v>
      </c>
      <c r="V45" s="175">
        <v>1652</v>
      </c>
      <c r="W45" s="175">
        <v>1652</v>
      </c>
      <c r="X45" s="49" t="s">
        <v>1659</v>
      </c>
      <c r="Y45" s="907" t="s">
        <v>81</v>
      </c>
      <c r="Z45" s="211" t="s">
        <v>616</v>
      </c>
      <c r="AA45" s="48" t="s">
        <v>1660</v>
      </c>
      <c r="AB45" s="48" t="s">
        <v>1660</v>
      </c>
      <c r="AC45" s="48" t="s">
        <v>1659</v>
      </c>
      <c r="AD45" s="48" t="s">
        <v>1631</v>
      </c>
      <c r="AE45" s="176">
        <v>46280</v>
      </c>
      <c r="AF45" s="211">
        <v>46275</v>
      </c>
      <c r="AG45" s="176"/>
      <c r="AH45" s="176"/>
      <c r="AI45" s="710" t="s">
        <v>1672</v>
      </c>
      <c r="AJ45" s="908" t="s">
        <v>1692</v>
      </c>
      <c r="AK45" s="3" t="s">
        <v>1794</v>
      </c>
    </row>
    <row r="46" s="3" customFormat="1" ht="36" customHeight="1" spans="1:37">
      <c r="A46" s="96">
        <f t="shared" si="0"/>
        <v>43</v>
      </c>
      <c r="B46" s="183" t="s">
        <v>1663</v>
      </c>
      <c r="C46" s="96" t="s">
        <v>77</v>
      </c>
      <c r="D46" s="293" t="s">
        <v>1809</v>
      </c>
      <c r="E46" s="216" t="s">
        <v>1810</v>
      </c>
      <c r="F46" s="217">
        <v>46168</v>
      </c>
      <c r="G46" s="217">
        <v>46280</v>
      </c>
      <c r="H46" s="217">
        <v>46280</v>
      </c>
      <c r="I46" s="218">
        <v>46220</v>
      </c>
      <c r="J46" s="282">
        <f t="shared" si="9"/>
        <v>25920</v>
      </c>
      <c r="K46" s="95">
        <v>48</v>
      </c>
      <c r="L46" s="95">
        <v>2160</v>
      </c>
      <c r="M46" s="95">
        <v>2160</v>
      </c>
      <c r="N46" s="95">
        <v>2160</v>
      </c>
      <c r="O46" s="95">
        <v>2160</v>
      </c>
      <c r="P46" s="95">
        <v>2160</v>
      </c>
      <c r="Q46" s="95">
        <v>2160</v>
      </c>
      <c r="R46" s="95">
        <v>2160</v>
      </c>
      <c r="S46" s="95">
        <v>2160</v>
      </c>
      <c r="T46" s="95">
        <v>2160</v>
      </c>
      <c r="U46" s="95">
        <v>2160</v>
      </c>
      <c r="V46" s="95">
        <v>2160</v>
      </c>
      <c r="W46" s="95">
        <v>2160</v>
      </c>
      <c r="X46" s="915" t="s">
        <v>1659</v>
      </c>
      <c r="Y46" s="912" t="s">
        <v>81</v>
      </c>
      <c r="Z46" s="279" t="s">
        <v>616</v>
      </c>
      <c r="AA46" s="183" t="s">
        <v>1660</v>
      </c>
      <c r="AB46" s="183" t="s">
        <v>1660</v>
      </c>
      <c r="AC46" s="183" t="s">
        <v>1659</v>
      </c>
      <c r="AD46" s="183" t="s">
        <v>1631</v>
      </c>
      <c r="AE46" s="280">
        <v>46280</v>
      </c>
      <c r="AF46" s="222">
        <v>46282</v>
      </c>
      <c r="AG46" s="97"/>
      <c r="AH46" s="97"/>
      <c r="AI46" s="755" t="s">
        <v>1811</v>
      </c>
      <c r="AJ46" s="908" t="s">
        <v>1692</v>
      </c>
      <c r="AK46" s="3" t="s">
        <v>1794</v>
      </c>
    </row>
    <row r="47" s="3" customFormat="1" ht="36" customHeight="1" spans="1:37">
      <c r="A47" s="96">
        <f t="shared" si="0"/>
        <v>44</v>
      </c>
      <c r="B47" s="183" t="s">
        <v>1656</v>
      </c>
      <c r="C47" s="96" t="s">
        <v>77</v>
      </c>
      <c r="D47" s="293" t="s">
        <v>1812</v>
      </c>
      <c r="E47" s="216" t="s">
        <v>1813</v>
      </c>
      <c r="F47" s="217">
        <v>46168</v>
      </c>
      <c r="G47" s="217">
        <v>46280</v>
      </c>
      <c r="H47" s="217">
        <v>46280</v>
      </c>
      <c r="I47" s="218">
        <v>46220</v>
      </c>
      <c r="J47" s="282">
        <f t="shared" si="9"/>
        <v>31680</v>
      </c>
      <c r="K47" s="95">
        <v>48</v>
      </c>
      <c r="L47" s="95">
        <v>2640</v>
      </c>
      <c r="M47" s="95">
        <v>2640</v>
      </c>
      <c r="N47" s="95">
        <v>2640</v>
      </c>
      <c r="O47" s="95">
        <v>2640</v>
      </c>
      <c r="P47" s="95">
        <v>2640</v>
      </c>
      <c r="Q47" s="95">
        <v>2640</v>
      </c>
      <c r="R47" s="95">
        <v>2640</v>
      </c>
      <c r="S47" s="95">
        <v>2640</v>
      </c>
      <c r="T47" s="95">
        <v>2640</v>
      </c>
      <c r="U47" s="95">
        <v>2640</v>
      </c>
      <c r="V47" s="95">
        <v>2640</v>
      </c>
      <c r="W47" s="95">
        <v>2640</v>
      </c>
      <c r="X47" s="915" t="s">
        <v>1659</v>
      </c>
      <c r="Y47" s="912" t="s">
        <v>81</v>
      </c>
      <c r="Z47" s="279" t="s">
        <v>616</v>
      </c>
      <c r="AA47" s="183" t="s">
        <v>1660</v>
      </c>
      <c r="AB47" s="183" t="s">
        <v>1660</v>
      </c>
      <c r="AC47" s="183" t="s">
        <v>1659</v>
      </c>
      <c r="AD47" s="183" t="s">
        <v>1631</v>
      </c>
      <c r="AE47" s="280">
        <v>46280</v>
      </c>
      <c r="AF47" s="222">
        <v>46282</v>
      </c>
      <c r="AG47" s="97"/>
      <c r="AH47" s="97"/>
      <c r="AI47" s="755" t="s">
        <v>1814</v>
      </c>
      <c r="AJ47" s="908" t="s">
        <v>1692</v>
      </c>
      <c r="AK47" s="3" t="s">
        <v>1794</v>
      </c>
    </row>
    <row r="48" s="3" customFormat="1" ht="36" customHeight="1" spans="1:37">
      <c r="A48" s="96">
        <f t="shared" si="0"/>
        <v>45</v>
      </c>
      <c r="B48" s="183" t="s">
        <v>1815</v>
      </c>
      <c r="C48" s="96" t="s">
        <v>726</v>
      </c>
      <c r="D48" s="293" t="s">
        <v>1816</v>
      </c>
      <c r="E48" s="216" t="s">
        <v>1817</v>
      </c>
      <c r="F48" s="217">
        <v>46150</v>
      </c>
      <c r="G48" s="217">
        <v>46288</v>
      </c>
      <c r="H48" s="217">
        <v>46288</v>
      </c>
      <c r="I48" s="218">
        <v>46219</v>
      </c>
      <c r="J48" s="282">
        <f t="shared" si="9"/>
        <v>6000</v>
      </c>
      <c r="K48" s="95">
        <v>48</v>
      </c>
      <c r="L48" s="95">
        <v>500</v>
      </c>
      <c r="M48" s="95">
        <v>500</v>
      </c>
      <c r="N48" s="95">
        <v>500</v>
      </c>
      <c r="O48" s="95">
        <v>500</v>
      </c>
      <c r="P48" s="95">
        <v>500</v>
      </c>
      <c r="Q48" s="95">
        <v>500</v>
      </c>
      <c r="R48" s="95">
        <v>500</v>
      </c>
      <c r="S48" s="95">
        <v>500</v>
      </c>
      <c r="T48" s="95">
        <v>500</v>
      </c>
      <c r="U48" s="95">
        <v>500</v>
      </c>
      <c r="V48" s="95">
        <v>500</v>
      </c>
      <c r="W48" s="95">
        <v>500</v>
      </c>
      <c r="X48" s="915" t="s">
        <v>1659</v>
      </c>
      <c r="Y48" s="96" t="s">
        <v>104</v>
      </c>
      <c r="Z48" s="279" t="s">
        <v>616</v>
      </c>
      <c r="AA48" s="183" t="s">
        <v>1660</v>
      </c>
      <c r="AB48" s="183" t="s">
        <v>1818</v>
      </c>
      <c r="AC48" s="183" t="s">
        <v>1659</v>
      </c>
      <c r="AD48" s="183" t="s">
        <v>1819</v>
      </c>
      <c r="AE48" s="280">
        <v>46288</v>
      </c>
      <c r="AF48" s="279"/>
      <c r="AG48" s="279" t="s">
        <v>1820</v>
      </c>
      <c r="AH48" s="97"/>
      <c r="AI48" s="755" t="s">
        <v>1821</v>
      </c>
      <c r="AJ48" s="908" t="s">
        <v>1822</v>
      </c>
      <c r="AK48" s="3" t="s">
        <v>1794</v>
      </c>
    </row>
    <row r="49" s="3" customFormat="1" ht="31" customHeight="1" spans="1:36">
      <c r="A49" s="270">
        <f t="shared" si="0"/>
        <v>46</v>
      </c>
      <c r="B49" s="269" t="s">
        <v>1656</v>
      </c>
      <c r="C49" s="270" t="s">
        <v>77</v>
      </c>
      <c r="D49" s="271"/>
      <c r="E49" s="271"/>
      <c r="F49" s="273">
        <v>46267</v>
      </c>
      <c r="G49" s="273">
        <v>46322</v>
      </c>
      <c r="H49" s="273">
        <v>46322</v>
      </c>
      <c r="I49" s="274"/>
      <c r="J49" s="281">
        <f t="shared" si="9"/>
        <v>7920</v>
      </c>
      <c r="K49" s="276">
        <v>48</v>
      </c>
      <c r="L49" s="95">
        <v>660</v>
      </c>
      <c r="M49" s="95">
        <v>660</v>
      </c>
      <c r="N49" s="95">
        <v>660</v>
      </c>
      <c r="O49" s="95">
        <v>660</v>
      </c>
      <c r="P49" s="95">
        <v>660</v>
      </c>
      <c r="Q49" s="95">
        <v>660</v>
      </c>
      <c r="R49" s="95">
        <v>660</v>
      </c>
      <c r="S49" s="95">
        <v>660</v>
      </c>
      <c r="T49" s="95">
        <v>660</v>
      </c>
      <c r="U49" s="95">
        <v>660</v>
      </c>
      <c r="V49" s="95">
        <v>660</v>
      </c>
      <c r="W49" s="95">
        <v>660</v>
      </c>
      <c r="X49" s="915"/>
      <c r="Y49" s="912" t="s">
        <v>81</v>
      </c>
      <c r="Z49" s="279"/>
      <c r="AA49" s="279"/>
      <c r="AB49" s="183"/>
      <c r="AC49" s="183"/>
      <c r="AD49" s="183" t="s">
        <v>1631</v>
      </c>
      <c r="AE49" s="280">
        <v>46322</v>
      </c>
      <c r="AF49" s="222"/>
      <c r="AG49" s="97"/>
      <c r="AH49" s="97"/>
      <c r="AI49" s="755" t="s">
        <v>1680</v>
      </c>
      <c r="AJ49" s="908" t="s">
        <v>1692</v>
      </c>
    </row>
    <row r="50" s="3" customFormat="1" ht="31" customHeight="1" spans="1:36">
      <c r="A50" s="270">
        <f t="shared" si="0"/>
        <v>47</v>
      </c>
      <c r="B50" s="269" t="s">
        <v>1663</v>
      </c>
      <c r="C50" s="270" t="s">
        <v>77</v>
      </c>
      <c r="D50" s="271"/>
      <c r="E50" s="271"/>
      <c r="F50" s="273">
        <v>46267</v>
      </c>
      <c r="G50" s="273">
        <v>46322</v>
      </c>
      <c r="H50" s="273">
        <v>46322</v>
      </c>
      <c r="I50" s="274"/>
      <c r="J50" s="281">
        <f t="shared" si="9"/>
        <v>6480</v>
      </c>
      <c r="K50" s="276">
        <v>48</v>
      </c>
      <c r="L50" s="95">
        <v>540</v>
      </c>
      <c r="M50" s="95">
        <v>540</v>
      </c>
      <c r="N50" s="95">
        <v>540</v>
      </c>
      <c r="O50" s="95">
        <v>540</v>
      </c>
      <c r="P50" s="95">
        <v>540</v>
      </c>
      <c r="Q50" s="95">
        <v>540</v>
      </c>
      <c r="R50" s="95">
        <v>540</v>
      </c>
      <c r="S50" s="95">
        <v>540</v>
      </c>
      <c r="T50" s="95">
        <v>540</v>
      </c>
      <c r="U50" s="95">
        <v>540</v>
      </c>
      <c r="V50" s="95">
        <v>540</v>
      </c>
      <c r="W50" s="95">
        <v>540</v>
      </c>
      <c r="X50" s="915"/>
      <c r="Y50" s="912" t="s">
        <v>81</v>
      </c>
      <c r="Z50" s="279"/>
      <c r="AA50" s="279"/>
      <c r="AB50" s="183"/>
      <c r="AC50" s="183"/>
      <c r="AD50" s="183" t="s">
        <v>1631</v>
      </c>
      <c r="AE50" s="280">
        <v>46322</v>
      </c>
      <c r="AF50" s="222"/>
      <c r="AG50" s="97"/>
      <c r="AH50" s="97"/>
      <c r="AI50" s="755" t="s">
        <v>1681</v>
      </c>
      <c r="AJ50" s="908" t="s">
        <v>1692</v>
      </c>
    </row>
    <row r="51" s="3" customFormat="1" ht="31" customHeight="1" spans="1:36">
      <c r="A51" s="270">
        <f t="shared" si="0"/>
        <v>48</v>
      </c>
      <c r="B51" s="269" t="s">
        <v>440</v>
      </c>
      <c r="C51" s="270" t="s">
        <v>114</v>
      </c>
      <c r="D51" s="271"/>
      <c r="E51" s="271"/>
      <c r="F51" s="273">
        <v>46276</v>
      </c>
      <c r="G51" s="273">
        <v>46360</v>
      </c>
      <c r="H51" s="273"/>
      <c r="I51" s="274"/>
      <c r="J51" s="281">
        <f t="shared" si="9"/>
        <v>6000</v>
      </c>
      <c r="K51" s="276">
        <v>48</v>
      </c>
      <c r="L51" s="95">
        <v>500</v>
      </c>
      <c r="M51" s="95">
        <v>500</v>
      </c>
      <c r="N51" s="95">
        <v>500</v>
      </c>
      <c r="O51" s="95">
        <v>500</v>
      </c>
      <c r="P51" s="95">
        <v>500</v>
      </c>
      <c r="Q51" s="95">
        <v>500</v>
      </c>
      <c r="R51" s="95">
        <v>500</v>
      </c>
      <c r="S51" s="95">
        <v>500</v>
      </c>
      <c r="T51" s="95">
        <v>500</v>
      </c>
      <c r="U51" s="95">
        <v>500</v>
      </c>
      <c r="V51" s="95">
        <v>500</v>
      </c>
      <c r="W51" s="95">
        <v>500</v>
      </c>
      <c r="X51" s="915"/>
      <c r="Y51" s="912" t="s">
        <v>104</v>
      </c>
      <c r="Z51" s="279"/>
      <c r="AA51" s="279"/>
      <c r="AB51" s="183"/>
      <c r="AC51" s="183"/>
      <c r="AD51" s="183" t="s">
        <v>1792</v>
      </c>
      <c r="AE51" s="280"/>
      <c r="AF51" s="222"/>
      <c r="AG51" s="97"/>
      <c r="AH51" s="97"/>
      <c r="AI51" s="755" t="s">
        <v>1823</v>
      </c>
      <c r="AJ51" s="908" t="s">
        <v>1692</v>
      </c>
    </row>
    <row r="52" s="3" customFormat="1" ht="31" customHeight="1" spans="1:36">
      <c r="A52" s="270">
        <f t="shared" si="0"/>
        <v>49</v>
      </c>
      <c r="B52" s="269" t="s">
        <v>440</v>
      </c>
      <c r="C52" s="270" t="s">
        <v>114</v>
      </c>
      <c r="D52" s="271"/>
      <c r="E52" s="271"/>
      <c r="F52" s="273">
        <v>46276</v>
      </c>
      <c r="G52" s="273">
        <v>46360</v>
      </c>
      <c r="H52" s="273"/>
      <c r="I52" s="274"/>
      <c r="J52" s="281">
        <f t="shared" si="9"/>
        <v>1200</v>
      </c>
      <c r="K52" s="276">
        <v>48</v>
      </c>
      <c r="L52" s="95">
        <v>100</v>
      </c>
      <c r="M52" s="95">
        <v>100</v>
      </c>
      <c r="N52" s="95">
        <v>100</v>
      </c>
      <c r="O52" s="95">
        <v>100</v>
      </c>
      <c r="P52" s="95">
        <v>100</v>
      </c>
      <c r="Q52" s="95">
        <v>100</v>
      </c>
      <c r="R52" s="95">
        <v>100</v>
      </c>
      <c r="S52" s="95">
        <v>100</v>
      </c>
      <c r="T52" s="95">
        <v>100</v>
      </c>
      <c r="U52" s="95">
        <v>100</v>
      </c>
      <c r="V52" s="95">
        <v>100</v>
      </c>
      <c r="W52" s="95">
        <v>100</v>
      </c>
      <c r="X52" s="915"/>
      <c r="Y52" s="912" t="s">
        <v>104</v>
      </c>
      <c r="Z52" s="279"/>
      <c r="AA52" s="279"/>
      <c r="AB52" s="183"/>
      <c r="AC52" s="183"/>
      <c r="AD52" s="183" t="s">
        <v>1792</v>
      </c>
      <c r="AE52" s="280"/>
      <c r="AF52" s="222"/>
      <c r="AG52" s="97"/>
      <c r="AH52" s="97"/>
      <c r="AI52" s="755" t="s">
        <v>1824</v>
      </c>
      <c r="AJ52" s="908" t="s">
        <v>1692</v>
      </c>
    </row>
    <row r="53" s="3" customFormat="1" ht="36" customHeight="1" spans="1:36">
      <c r="A53" s="96"/>
      <c r="B53" s="183"/>
      <c r="C53" s="96"/>
      <c r="D53" s="293"/>
      <c r="E53" s="216"/>
      <c r="F53" s="217"/>
      <c r="G53" s="217"/>
      <c r="H53" s="217"/>
      <c r="I53" s="218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15"/>
      <c r="Y53" s="96"/>
      <c r="Z53" s="279"/>
      <c r="AA53" s="183"/>
      <c r="AB53" s="183"/>
      <c r="AC53" s="183"/>
      <c r="AD53" s="183"/>
      <c r="AE53" s="280"/>
      <c r="AF53" s="916"/>
      <c r="AG53" s="97"/>
      <c r="AH53" s="97"/>
      <c r="AI53" s="755"/>
      <c r="AJ53" s="908"/>
    </row>
    <row r="54" s="3" customFormat="1" ht="17.1" customHeight="1" spans="1:36">
      <c r="A54" s="94" t="s">
        <v>66</v>
      </c>
      <c r="B54" s="94"/>
      <c r="C54" s="94"/>
      <c r="D54" s="94"/>
      <c r="E54" s="94"/>
      <c r="F54" s="94"/>
      <c r="G54" s="94"/>
      <c r="H54" s="94"/>
      <c r="I54" s="94"/>
      <c r="J54" s="95">
        <f>SUM(J4:J53)</f>
        <v>375168</v>
      </c>
      <c r="K54" s="95"/>
      <c r="L54" s="95">
        <f t="shared" ref="L54:W54" si="10">SUM(L4:L53)</f>
        <v>47668</v>
      </c>
      <c r="M54" s="95">
        <f t="shared" si="10"/>
        <v>47668</v>
      </c>
      <c r="N54" s="95">
        <f t="shared" si="10"/>
        <v>47668</v>
      </c>
      <c r="O54" s="95">
        <f t="shared" si="10"/>
        <v>47668</v>
      </c>
      <c r="P54" s="95">
        <f t="shared" si="10"/>
        <v>47668</v>
      </c>
      <c r="Q54" s="95">
        <f t="shared" si="10"/>
        <v>47668</v>
      </c>
      <c r="R54" s="95">
        <f t="shared" si="10"/>
        <v>47668</v>
      </c>
      <c r="S54" s="95">
        <f t="shared" si="10"/>
        <v>47668</v>
      </c>
      <c r="T54" s="95">
        <f t="shared" si="10"/>
        <v>47668</v>
      </c>
      <c r="U54" s="95">
        <f t="shared" si="10"/>
        <v>47668</v>
      </c>
      <c r="V54" s="95">
        <f t="shared" si="10"/>
        <v>47668</v>
      </c>
      <c r="W54" s="95">
        <f t="shared" si="10"/>
        <v>47668</v>
      </c>
      <c r="X54" s="96"/>
      <c r="Y54" s="96"/>
      <c r="Z54" s="96"/>
      <c r="AA54" s="96"/>
      <c r="AB54" s="96"/>
      <c r="AC54" s="96"/>
      <c r="AD54" s="96"/>
      <c r="AE54" s="97"/>
      <c r="AF54" s="97"/>
      <c r="AG54" s="97"/>
      <c r="AH54" s="97"/>
      <c r="AI54" s="917"/>
    </row>
    <row r="55" s="4" customFormat="1" ht="17.1" customHeight="1" spans="1:36">
      <c r="A55" s="100"/>
      <c r="B55" s="100"/>
      <c r="C55" s="100"/>
      <c r="D55" s="100"/>
      <c r="E55" s="100"/>
      <c r="F55" s="100"/>
      <c r="G55" s="100"/>
      <c r="H55" s="100"/>
      <c r="I55" s="100"/>
      <c r="J55" s="134">
        <f>SUM(L55:W55)</f>
        <v>560976</v>
      </c>
      <c r="K55" s="134"/>
      <c r="L55" s="284">
        <f>10880+8500+7730+6638+1000+880+2036+9084</f>
        <v>46748</v>
      </c>
      <c r="M55" s="284">
        <f t="shared" ref="M55:W55" si="11">10880+8500+7730+6638+1000+880+2036+9084</f>
        <v>46748</v>
      </c>
      <c r="N55" s="284">
        <f t="shared" si="11"/>
        <v>46748</v>
      </c>
      <c r="O55" s="284">
        <f t="shared" si="11"/>
        <v>46748</v>
      </c>
      <c r="P55" s="284">
        <f t="shared" si="11"/>
        <v>46748</v>
      </c>
      <c r="Q55" s="284">
        <f t="shared" si="11"/>
        <v>46748</v>
      </c>
      <c r="R55" s="284">
        <f t="shared" si="11"/>
        <v>46748</v>
      </c>
      <c r="S55" s="284">
        <f t="shared" si="11"/>
        <v>46748</v>
      </c>
      <c r="T55" s="284">
        <f t="shared" si="11"/>
        <v>46748</v>
      </c>
      <c r="U55" s="284">
        <f t="shared" si="11"/>
        <v>46748</v>
      </c>
      <c r="V55" s="284">
        <f t="shared" si="11"/>
        <v>46748</v>
      </c>
      <c r="W55" s="284">
        <f t="shared" si="11"/>
        <v>46748</v>
      </c>
      <c r="X55" s="96"/>
      <c r="Y55" s="100"/>
      <c r="Z55" s="100"/>
      <c r="AA55" s="100"/>
      <c r="AB55" s="100"/>
      <c r="AC55" s="100"/>
      <c r="AD55" s="100"/>
      <c r="AE55" s="101"/>
      <c r="AF55" s="101"/>
      <c r="AG55" s="101"/>
      <c r="AH55" s="101"/>
      <c r="AI55" s="918"/>
    </row>
    <row r="56" s="4" customFormat="1" ht="17.1" customHeight="1" spans="1:36">
      <c r="A56" s="149" t="s">
        <v>67</v>
      </c>
      <c r="B56" s="149"/>
      <c r="C56" s="149"/>
      <c r="D56" s="149"/>
      <c r="E56" s="149"/>
      <c r="F56" s="149"/>
      <c r="G56" s="149"/>
      <c r="H56" s="149"/>
      <c r="I56" s="149"/>
      <c r="J56" s="919">
        <f>SUM(L56:W56)</f>
        <v>-11040</v>
      </c>
      <c r="K56" s="920"/>
      <c r="L56" s="151">
        <f t="shared" ref="L56:W56" si="12">L55-L54</f>
        <v>-920</v>
      </c>
      <c r="M56" s="151">
        <f t="shared" si="12"/>
        <v>-920</v>
      </c>
      <c r="N56" s="151">
        <f t="shared" si="12"/>
        <v>-920</v>
      </c>
      <c r="O56" s="151">
        <f t="shared" si="12"/>
        <v>-920</v>
      </c>
      <c r="P56" s="151">
        <f t="shared" si="12"/>
        <v>-920</v>
      </c>
      <c r="Q56" s="151">
        <f t="shared" si="12"/>
        <v>-920</v>
      </c>
      <c r="R56" s="151">
        <f t="shared" si="12"/>
        <v>-920</v>
      </c>
      <c r="S56" s="151">
        <f t="shared" si="12"/>
        <v>-920</v>
      </c>
      <c r="T56" s="151">
        <f t="shared" si="12"/>
        <v>-920</v>
      </c>
      <c r="U56" s="151">
        <f t="shared" si="12"/>
        <v>-920</v>
      </c>
      <c r="V56" s="151">
        <f t="shared" si="12"/>
        <v>-920</v>
      </c>
      <c r="W56" s="151">
        <f t="shared" si="12"/>
        <v>-920</v>
      </c>
      <c r="X56" s="100"/>
      <c r="Y56" s="100"/>
      <c r="Z56" s="100"/>
      <c r="AA56" s="100"/>
      <c r="AB56" s="100"/>
      <c r="AC56" s="100"/>
      <c r="AD56" s="100"/>
      <c r="AE56" s="101"/>
      <c r="AF56" s="101"/>
      <c r="AG56" s="101"/>
      <c r="AH56" s="101"/>
      <c r="AI56" s="918"/>
    </row>
    <row r="57" spans="1:36">
      <c r="B57" s="110" t="s">
        <v>68</v>
      </c>
      <c r="C57" s="110"/>
      <c r="D57" s="111"/>
      <c r="E57" s="111"/>
      <c r="F57" s="111"/>
      <c r="G57" s="111"/>
      <c r="H57" s="111"/>
      <c r="I57" s="111"/>
      <c r="J57" s="285"/>
    </row>
    <row r="60" spans="1:36">
      <c r="B60" s="286"/>
    </row>
    <row r="61" spans="1:36">
      <c r="B61" s="286"/>
    </row>
    <row r="62" spans="1:36">
      <c r="B62" s="286"/>
    </row>
    <row r="63" spans="1:36">
      <c r="B63" s="286"/>
    </row>
  </sheetData>
  <autoFilter xmlns:etc="http://www.wps.cn/officeDocument/2017/etCustomData" ref="A3:AJ57" etc:filterBottomFollowUsedRange="0">
    <filterColumn colId="33">
      <filters blank="1"/>
    </filterColumn>
    <extLst/>
  </autoFilter>
  <mergeCells count="30">
    <mergeCell ref="A1:AD1"/>
    <mergeCell ref="AE1:AG1"/>
    <mergeCell ref="AH1:AI1"/>
    <mergeCell ref="L2:W2"/>
    <mergeCell ref="A54:I54"/>
    <mergeCell ref="A55:I55"/>
    <mergeCell ref="A56:I56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</mergeCells>
  <conditionalFormatting sqref="L56:W56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354166666666667" header="0.313888888888889" footer="0.313888888888889"/>
  <pageSetup paperSize="9" scale="50" orientation="landscape"/>
  <headerFooter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CR24"/>
  <sheetViews>
    <sheetView workbookViewId="0">
      <selection activeCell="D13" sqref="D13"/>
    </sheetView>
  </sheetViews>
  <sheetFormatPr defaultColWidth="9" defaultRowHeight="14.25"/>
  <cols>
    <col min="1" max="1" width="3.125" customWidth="1"/>
    <col min="2" max="2" width="10.875" customWidth="1"/>
    <col min="3" max="3" width="8" customWidth="1"/>
    <col min="4" max="4" width="11.375" customWidth="1"/>
    <col min="5" max="5" width="9.375" customWidth="1"/>
    <col min="6" max="6" width="6.5" customWidth="1"/>
    <col min="7" max="7" width="6.625" customWidth="1"/>
    <col min="8" max="9" width="5.875" customWidth="1"/>
    <col min="10" max="10" width="7.125" style="818" customWidth="1"/>
    <col min="11" max="11" width="5.125" customWidth="1"/>
    <col min="12" max="83" width="6" customWidth="1"/>
    <col min="84" max="84" width="9.375" style="288" customWidth="1"/>
    <col min="85" max="85" width="5.125" customWidth="1"/>
    <col min="86" max="88" width="5.625" customWidth="1"/>
    <col min="89" max="89" width="8.375" style="288" customWidth="1"/>
    <col min="90" max="90" width="21.625" customWidth="1"/>
    <col min="91" max="91" width="9" style="114" customWidth="1"/>
    <col min="92" max="92" width="9.75" style="113" customWidth="1"/>
    <col min="93" max="93" width="10.625" style="113" customWidth="1"/>
    <col min="94" max="94" width="8.625" style="113" customWidth="1"/>
    <col min="95" max="95" width="14" style="194" customWidth="1"/>
    <col min="96" max="96" width="18.625" style="255" customWidth="1"/>
  </cols>
  <sheetData>
    <row r="1" ht="35.1" customHeight="1" spans="1:96">
      <c r="A1" s="256" t="s">
        <v>1825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819"/>
      <c r="M1" s="819"/>
      <c r="N1" s="819"/>
      <c r="O1" s="819"/>
      <c r="P1" s="819"/>
      <c r="Q1" s="819"/>
      <c r="R1" s="819"/>
      <c r="S1" s="819"/>
      <c r="T1" s="819"/>
      <c r="U1" s="819"/>
      <c r="V1" s="819"/>
      <c r="W1" s="819"/>
      <c r="X1" s="819"/>
      <c r="Y1" s="819"/>
      <c r="Z1" s="819"/>
      <c r="AA1" s="819"/>
      <c r="AB1" s="819"/>
      <c r="AC1" s="819"/>
      <c r="AD1" s="819"/>
      <c r="AE1" s="819"/>
      <c r="AF1" s="819"/>
      <c r="AG1" s="819"/>
      <c r="AH1" s="819"/>
      <c r="AI1" s="819"/>
      <c r="AJ1" s="819"/>
      <c r="AK1" s="819"/>
      <c r="AL1" s="819"/>
      <c r="AM1" s="819"/>
      <c r="AN1" s="819"/>
      <c r="AO1" s="819"/>
      <c r="AP1" s="819"/>
      <c r="AQ1" s="819"/>
      <c r="AR1" s="819"/>
      <c r="AS1" s="819"/>
      <c r="AT1" s="819"/>
      <c r="AU1" s="819"/>
      <c r="AV1" s="819"/>
      <c r="AW1" s="819"/>
      <c r="AX1" s="819"/>
      <c r="AY1" s="819"/>
      <c r="AZ1" s="819"/>
      <c r="BA1" s="819"/>
      <c r="BB1" s="819"/>
      <c r="BC1" s="819"/>
      <c r="BD1" s="819"/>
      <c r="BE1" s="819"/>
      <c r="BF1" s="819"/>
      <c r="BG1" s="819"/>
      <c r="BH1" s="819"/>
      <c r="BI1" s="819"/>
      <c r="BJ1" s="819"/>
      <c r="BK1" s="819"/>
      <c r="BL1" s="819"/>
      <c r="BM1" s="819"/>
      <c r="BN1" s="819"/>
      <c r="BO1" s="819"/>
      <c r="BP1" s="819"/>
      <c r="BQ1" s="819"/>
      <c r="BR1" s="819"/>
      <c r="BS1" s="819"/>
      <c r="BT1" s="819"/>
      <c r="BU1" s="819"/>
      <c r="BV1" s="819"/>
      <c r="BW1" s="819"/>
      <c r="BX1" s="819"/>
      <c r="BY1" s="819"/>
      <c r="BZ1" s="819"/>
      <c r="CA1" s="819"/>
      <c r="CB1" s="819"/>
      <c r="CC1" s="819"/>
      <c r="CD1" s="819"/>
      <c r="CE1" s="819"/>
      <c r="CF1" s="819"/>
      <c r="CG1" s="819"/>
      <c r="CH1" s="819"/>
      <c r="CI1" s="819"/>
      <c r="CJ1" s="819"/>
      <c r="CK1" s="819"/>
      <c r="CL1" s="819"/>
      <c r="CM1" s="820"/>
      <c r="CN1" s="259" t="s">
        <v>1</v>
      </c>
      <c r="CO1" s="260"/>
      <c r="CP1" s="200">
        <f ca="1">TODAY()</f>
        <v>46277</v>
      </c>
      <c r="CQ1" s="201"/>
    </row>
    <row r="2" s="190" customFormat="1" ht="21.95" customHeight="1" spans="1:96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821" t="s">
        <v>11</v>
      </c>
      <c r="K2" s="15" t="s">
        <v>12</v>
      </c>
      <c r="L2" s="187" t="s">
        <v>13</v>
      </c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  <c r="BD2" s="188"/>
      <c r="BE2" s="188"/>
      <c r="BF2" s="188"/>
      <c r="BG2" s="188"/>
      <c r="BH2" s="188"/>
      <c r="BI2" s="188"/>
      <c r="BJ2" s="188"/>
      <c r="BK2" s="188"/>
      <c r="BL2" s="188"/>
      <c r="BM2" s="188"/>
      <c r="BN2" s="188"/>
      <c r="BO2" s="188"/>
      <c r="BP2" s="188"/>
      <c r="BQ2" s="188"/>
      <c r="BR2" s="188"/>
      <c r="BS2" s="188"/>
      <c r="BT2" s="188"/>
      <c r="BU2" s="188"/>
      <c r="BV2" s="188"/>
      <c r="BW2" s="188"/>
      <c r="BX2" s="188"/>
      <c r="BY2" s="188"/>
      <c r="BZ2" s="188"/>
      <c r="CA2" s="189"/>
      <c r="CB2" s="822" t="s">
        <v>1826</v>
      </c>
      <c r="CC2" s="822"/>
      <c r="CD2" s="822"/>
      <c r="CE2" s="823"/>
      <c r="CF2" s="20" t="s">
        <v>14</v>
      </c>
      <c r="CG2" s="22" t="s">
        <v>15</v>
      </c>
      <c r="CH2" s="22" t="s">
        <v>16</v>
      </c>
      <c r="CI2" s="22" t="s">
        <v>17</v>
      </c>
      <c r="CJ2" s="22" t="s">
        <v>18</v>
      </c>
      <c r="CK2" s="22" t="s">
        <v>20</v>
      </c>
      <c r="CL2" s="261" t="s">
        <v>21</v>
      </c>
      <c r="CM2" s="25" t="s">
        <v>22</v>
      </c>
      <c r="CN2" s="26" t="s">
        <v>23</v>
      </c>
      <c r="CO2" s="26" t="s">
        <v>24</v>
      </c>
      <c r="CP2" s="26" t="s">
        <v>25</v>
      </c>
      <c r="CQ2" s="205" t="s">
        <v>26</v>
      </c>
      <c r="CR2" s="159"/>
    </row>
    <row r="3" s="190" customFormat="1" ht="36" customHeight="1" spans="1:96">
      <c r="A3" s="14"/>
      <c r="B3" s="15"/>
      <c r="C3" s="15"/>
      <c r="D3" s="15"/>
      <c r="E3" s="29"/>
      <c r="F3" s="15"/>
      <c r="G3" s="15"/>
      <c r="H3" s="15"/>
      <c r="I3" s="15"/>
      <c r="J3" s="821"/>
      <c r="K3" s="15"/>
      <c r="L3" s="264" t="s">
        <v>27</v>
      </c>
      <c r="M3" s="264" t="s">
        <v>28</v>
      </c>
      <c r="N3" s="292" t="s">
        <v>29</v>
      </c>
      <c r="O3" s="264" t="s">
        <v>30</v>
      </c>
      <c r="P3" s="264" t="s">
        <v>31</v>
      </c>
      <c r="Q3" s="264" t="s">
        <v>32</v>
      </c>
      <c r="R3" s="264" t="s">
        <v>33</v>
      </c>
      <c r="S3" s="264" t="s">
        <v>34</v>
      </c>
      <c r="T3" s="265" t="s">
        <v>35</v>
      </c>
      <c r="U3" s="264" t="s">
        <v>36</v>
      </c>
      <c r="V3" s="264" t="s">
        <v>37</v>
      </c>
      <c r="W3" s="292" t="s">
        <v>38</v>
      </c>
      <c r="X3" s="264" t="s">
        <v>39</v>
      </c>
      <c r="Y3" s="264" t="s">
        <v>40</v>
      </c>
      <c r="Z3" s="264" t="s">
        <v>1827</v>
      </c>
      <c r="AA3" s="264" t="s">
        <v>41</v>
      </c>
      <c r="AB3" s="264" t="s">
        <v>42</v>
      </c>
      <c r="AC3" s="264" t="s">
        <v>43</v>
      </c>
      <c r="AD3" s="292" t="s">
        <v>44</v>
      </c>
      <c r="AE3" s="292" t="s">
        <v>45</v>
      </c>
      <c r="AF3" s="264" t="s">
        <v>46</v>
      </c>
      <c r="AG3" s="264" t="s">
        <v>47</v>
      </c>
      <c r="AH3" s="264" t="s">
        <v>48</v>
      </c>
      <c r="AI3" s="264" t="s">
        <v>49</v>
      </c>
      <c r="AJ3" s="264" t="s">
        <v>50</v>
      </c>
      <c r="AK3" s="265" t="s">
        <v>51</v>
      </c>
      <c r="AL3" s="264" t="s">
        <v>52</v>
      </c>
      <c r="AM3" s="264" t="s">
        <v>53</v>
      </c>
      <c r="AN3" s="264" t="s">
        <v>54</v>
      </c>
      <c r="AO3" s="292" t="s">
        <v>55</v>
      </c>
      <c r="AP3" s="292" t="s">
        <v>56</v>
      </c>
      <c r="AQ3" s="264" t="s">
        <v>1828</v>
      </c>
      <c r="AR3" s="824" t="s">
        <v>1829</v>
      </c>
      <c r="AS3" s="264" t="s">
        <v>1830</v>
      </c>
      <c r="AT3" s="264" t="s">
        <v>1831</v>
      </c>
      <c r="AU3" s="264" t="s">
        <v>1832</v>
      </c>
      <c r="AV3" s="824" t="s">
        <v>1833</v>
      </c>
      <c r="AW3" s="264" t="s">
        <v>1834</v>
      </c>
      <c r="AX3" s="824" t="s">
        <v>1835</v>
      </c>
      <c r="AY3" s="264" t="s">
        <v>1836</v>
      </c>
      <c r="AZ3" s="824" t="s">
        <v>1837</v>
      </c>
      <c r="BA3" s="264" t="s">
        <v>1838</v>
      </c>
      <c r="BB3" s="264" t="s">
        <v>1839</v>
      </c>
      <c r="BC3" s="264" t="s">
        <v>1840</v>
      </c>
      <c r="BD3" s="264" t="s">
        <v>1841</v>
      </c>
      <c r="BE3" s="264" t="s">
        <v>1842</v>
      </c>
      <c r="BF3" s="264" t="s">
        <v>1843</v>
      </c>
      <c r="BG3" s="264" t="s">
        <v>1844</v>
      </c>
      <c r="BH3" s="264" t="s">
        <v>1845</v>
      </c>
      <c r="BI3" s="824" t="s">
        <v>1846</v>
      </c>
      <c r="BJ3" s="824" t="s">
        <v>1847</v>
      </c>
      <c r="BK3" s="264" t="s">
        <v>1848</v>
      </c>
      <c r="BL3" s="824" t="s">
        <v>1849</v>
      </c>
      <c r="BM3" s="264" t="s">
        <v>1850</v>
      </c>
      <c r="BN3" s="264" t="s">
        <v>1851</v>
      </c>
      <c r="BO3" s="824" t="s">
        <v>1852</v>
      </c>
      <c r="BP3" s="824" t="s">
        <v>1853</v>
      </c>
      <c r="BQ3" s="264" t="s">
        <v>1594</v>
      </c>
      <c r="BR3" s="264" t="s">
        <v>1595</v>
      </c>
      <c r="BS3" s="264" t="s">
        <v>1854</v>
      </c>
      <c r="BT3" s="264" t="s">
        <v>57</v>
      </c>
      <c r="BU3" s="292" t="s">
        <v>58</v>
      </c>
      <c r="BV3" s="824" t="s">
        <v>59</v>
      </c>
      <c r="BW3" s="264" t="s">
        <v>60</v>
      </c>
      <c r="BX3" s="292" t="s">
        <v>61</v>
      </c>
      <c r="BY3" s="264" t="s">
        <v>62</v>
      </c>
      <c r="BZ3" s="825" t="s">
        <v>63</v>
      </c>
      <c r="CA3" s="265" t="s">
        <v>64</v>
      </c>
      <c r="CB3" s="826" t="s">
        <v>1855</v>
      </c>
      <c r="CC3" s="826" t="s">
        <v>1856</v>
      </c>
      <c r="CD3" s="826" t="s">
        <v>1857</v>
      </c>
      <c r="CE3" s="826" t="s">
        <v>1858</v>
      </c>
      <c r="CF3" s="31"/>
      <c r="CG3" s="32"/>
      <c r="CH3" s="32"/>
      <c r="CI3" s="32"/>
      <c r="CJ3" s="32"/>
      <c r="CK3" s="32"/>
      <c r="CL3" s="267"/>
      <c r="CM3" s="25"/>
      <c r="CN3" s="26"/>
      <c r="CO3" s="26"/>
      <c r="CP3" s="26"/>
      <c r="CQ3" s="205"/>
      <c r="CR3" s="159" t="s">
        <v>65</v>
      </c>
    </row>
    <row r="4" s="311" customFormat="1" ht="25.5" hidden="1" customHeight="1" spans="1:96">
      <c r="A4" s="208">
        <f t="shared" ref="A4:A12" si="0">ROW()-3</f>
        <v>1</v>
      </c>
      <c r="B4" s="48" t="s">
        <v>1859</v>
      </c>
      <c r="C4" s="49" t="s">
        <v>124</v>
      </c>
      <c r="D4" s="51" t="s">
        <v>1860</v>
      </c>
      <c r="E4" s="51"/>
      <c r="F4" s="52"/>
      <c r="G4" s="52"/>
      <c r="H4" s="52"/>
      <c r="I4" s="53"/>
      <c r="J4" s="827">
        <v>400</v>
      </c>
      <c r="K4" s="175">
        <v>400</v>
      </c>
      <c r="L4" s="175">
        <f>J4/K4*11</f>
        <v>11</v>
      </c>
      <c r="M4" s="175">
        <f>J4/K4*11</f>
        <v>11</v>
      </c>
      <c r="N4" s="175">
        <f>J4/K4*11</f>
        <v>11</v>
      </c>
      <c r="O4" s="175">
        <f>J4/K4*11</f>
        <v>11</v>
      </c>
      <c r="P4" s="175">
        <f>J4/K4*11</f>
        <v>11</v>
      </c>
      <c r="Q4" s="175">
        <f>J4/K4*11</f>
        <v>11</v>
      </c>
      <c r="R4" s="175">
        <f>J4/K4*11</f>
        <v>11</v>
      </c>
      <c r="S4" s="175">
        <f>J4/K4*11</f>
        <v>11</v>
      </c>
      <c r="T4" s="175">
        <f>J4/K4*11</f>
        <v>11</v>
      </c>
      <c r="U4" s="175">
        <f>J4/K4*11</f>
        <v>11</v>
      </c>
      <c r="V4" s="175">
        <f>J4/K4*11</f>
        <v>11</v>
      </c>
      <c r="W4" s="175">
        <f>J4/K4*11</f>
        <v>11</v>
      </c>
      <c r="X4" s="175">
        <f>J4/K4*11</f>
        <v>11</v>
      </c>
      <c r="Y4" s="175">
        <f>J4/K4*11</f>
        <v>11</v>
      </c>
      <c r="Z4" s="175"/>
      <c r="AA4" s="175">
        <f>J4/K4*11</f>
        <v>11</v>
      </c>
      <c r="AB4" s="175">
        <f>J4/K4*11</f>
        <v>11</v>
      </c>
      <c r="AC4" s="175">
        <f>J4/K4*10</f>
        <v>10</v>
      </c>
      <c r="AD4" s="175">
        <f>J4/K4*10</f>
        <v>10</v>
      </c>
      <c r="AE4" s="175">
        <f>J4/K4*10</f>
        <v>10</v>
      </c>
      <c r="AF4" s="175">
        <f>J4/K4*11</f>
        <v>11</v>
      </c>
      <c r="AG4" s="175">
        <f>J4/K4*10</f>
        <v>10</v>
      </c>
      <c r="AH4" s="175">
        <f>J4/K4*11</f>
        <v>11</v>
      </c>
      <c r="AI4" s="175">
        <f>J4/K4*11</f>
        <v>11</v>
      </c>
      <c r="AJ4" s="175">
        <f>J4/K4*10</f>
        <v>10</v>
      </c>
      <c r="AK4" s="175">
        <f>J4/K4*10</f>
        <v>10</v>
      </c>
      <c r="AL4" s="175">
        <f>J4/K4*10</f>
        <v>10</v>
      </c>
      <c r="AM4" s="175">
        <f>J4/K4*10</f>
        <v>10</v>
      </c>
      <c r="AN4" s="175">
        <f>J4/K4*10</f>
        <v>10</v>
      </c>
      <c r="AO4" s="175">
        <f>J4/K4*10</f>
        <v>10</v>
      </c>
      <c r="AP4" s="175">
        <f>J4/K4*10</f>
        <v>10</v>
      </c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5"/>
      <c r="BL4" s="175"/>
      <c r="BM4" s="175"/>
      <c r="BN4" s="175"/>
      <c r="BO4" s="175"/>
      <c r="BP4" s="175"/>
      <c r="BQ4" s="175"/>
      <c r="BR4" s="175"/>
      <c r="BS4" s="175"/>
      <c r="BT4" s="175">
        <f>J4/K4*10</f>
        <v>10</v>
      </c>
      <c r="BU4" s="175">
        <f>J4/K4*10</f>
        <v>10</v>
      </c>
      <c r="BV4" s="175">
        <f>J4/K4*10</f>
        <v>10</v>
      </c>
      <c r="BW4" s="175">
        <f>J4/K4*10</f>
        <v>10</v>
      </c>
      <c r="BX4" s="175">
        <f>J4/K4*10</f>
        <v>10</v>
      </c>
      <c r="BY4" s="175">
        <f>J4/K4*11</f>
        <v>11</v>
      </c>
      <c r="BZ4" s="175">
        <f>J4/K4*10</f>
        <v>10</v>
      </c>
      <c r="CA4" s="175">
        <f>J4/K4*10</f>
        <v>10</v>
      </c>
      <c r="CB4" s="703"/>
      <c r="CC4" s="703"/>
      <c r="CD4" s="703"/>
      <c r="CE4" s="703"/>
      <c r="CF4" s="624" t="s">
        <v>1861</v>
      </c>
      <c r="CG4" s="49" t="s">
        <v>81</v>
      </c>
      <c r="CH4" s="48" t="s">
        <v>1862</v>
      </c>
      <c r="CI4" s="48"/>
      <c r="CJ4" s="48" t="s">
        <v>1863</v>
      </c>
      <c r="CK4" s="624" t="s">
        <v>1861</v>
      </c>
      <c r="CL4" s="48" t="s">
        <v>1864</v>
      </c>
      <c r="CM4" s="807">
        <v>45985</v>
      </c>
      <c r="CN4" s="211"/>
      <c r="CO4" s="317"/>
      <c r="CP4" s="211">
        <v>46035</v>
      </c>
      <c r="CQ4" s="213"/>
      <c r="CR4" s="159"/>
    </row>
    <row r="5" s="311" customFormat="1" ht="25.5" hidden="1" customHeight="1" spans="1:96">
      <c r="A5" s="208">
        <f t="shared" si="0"/>
        <v>2</v>
      </c>
      <c r="B5" s="48" t="s">
        <v>1859</v>
      </c>
      <c r="C5" s="49" t="s">
        <v>124</v>
      </c>
      <c r="D5" s="51" t="s">
        <v>1865</v>
      </c>
      <c r="E5" s="51"/>
      <c r="F5" s="52">
        <v>45909</v>
      </c>
      <c r="G5" s="52">
        <v>46001</v>
      </c>
      <c r="H5" s="52">
        <v>46001</v>
      </c>
      <c r="I5" s="53">
        <v>45961</v>
      </c>
      <c r="J5" s="827">
        <v>284800</v>
      </c>
      <c r="K5" s="175">
        <v>400</v>
      </c>
      <c r="L5" s="175">
        <f>J5/K5*11</f>
        <v>7832</v>
      </c>
      <c r="M5" s="175">
        <f>J5/K5*11</f>
        <v>7832</v>
      </c>
      <c r="N5" s="175">
        <f>J5/K5*11</f>
        <v>7832</v>
      </c>
      <c r="O5" s="175">
        <f>J5/K5*11</f>
        <v>7832</v>
      </c>
      <c r="P5" s="175">
        <f>J5/K5*11</f>
        <v>7832</v>
      </c>
      <c r="Q5" s="175">
        <f>J5/K5*11</f>
        <v>7832</v>
      </c>
      <c r="R5" s="175">
        <f>J5/K5*11</f>
        <v>7832</v>
      </c>
      <c r="S5" s="175">
        <f>J5/K5*11</f>
        <v>7832</v>
      </c>
      <c r="T5" s="175">
        <f>J5/K5*11</f>
        <v>7832</v>
      </c>
      <c r="U5" s="175">
        <f>J5/K5*11</f>
        <v>7832</v>
      </c>
      <c r="V5" s="175">
        <f>J5/K5*11</f>
        <v>7832</v>
      </c>
      <c r="W5" s="175">
        <f>J5/K5*11</f>
        <v>7832</v>
      </c>
      <c r="X5" s="175">
        <f>J5/K5*11</f>
        <v>7832</v>
      </c>
      <c r="Y5" s="175">
        <f>J5/K5*11</f>
        <v>7832</v>
      </c>
      <c r="Z5" s="175"/>
      <c r="AA5" s="175">
        <f>J5/K5*11</f>
        <v>7832</v>
      </c>
      <c r="AB5" s="175">
        <f>J5/K5*11</f>
        <v>7832</v>
      </c>
      <c r="AC5" s="175">
        <f>J5/K5*10</f>
        <v>7120</v>
      </c>
      <c r="AD5" s="175">
        <f>J5/K5*10</f>
        <v>7120</v>
      </c>
      <c r="AE5" s="175">
        <f>J5/K5*10</f>
        <v>7120</v>
      </c>
      <c r="AF5" s="175">
        <f>J5/K5*11</f>
        <v>7832</v>
      </c>
      <c r="AG5" s="175">
        <f>J5/K5*10</f>
        <v>7120</v>
      </c>
      <c r="AH5" s="175">
        <f>J5/K5*11</f>
        <v>7832</v>
      </c>
      <c r="AI5" s="175">
        <f>J5/K5*11</f>
        <v>7832</v>
      </c>
      <c r="AJ5" s="175">
        <f>J5/K5*10</f>
        <v>7120</v>
      </c>
      <c r="AK5" s="175">
        <f>J5/K5*10</f>
        <v>7120</v>
      </c>
      <c r="AL5" s="175">
        <f>J5/K5*10</f>
        <v>7120</v>
      </c>
      <c r="AM5" s="175">
        <f>J5/K5*10</f>
        <v>7120</v>
      </c>
      <c r="AN5" s="175">
        <f>J5/K5*10</f>
        <v>7120</v>
      </c>
      <c r="AO5" s="175">
        <f>J5/K5*10</f>
        <v>7120</v>
      </c>
      <c r="AP5" s="175">
        <f>J5/K5*10</f>
        <v>7120</v>
      </c>
      <c r="AQ5" s="175"/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5"/>
      <c r="BD5" s="175"/>
      <c r="BE5" s="175"/>
      <c r="BF5" s="175"/>
      <c r="BG5" s="175"/>
      <c r="BH5" s="175"/>
      <c r="BI5" s="175"/>
      <c r="BJ5" s="175"/>
      <c r="BK5" s="175"/>
      <c r="BL5" s="175"/>
      <c r="BM5" s="175"/>
      <c r="BN5" s="175"/>
      <c r="BO5" s="175"/>
      <c r="BP5" s="175"/>
      <c r="BQ5" s="175"/>
      <c r="BR5" s="175"/>
      <c r="BS5" s="175"/>
      <c r="BT5" s="175">
        <f>J5/K5*10</f>
        <v>7120</v>
      </c>
      <c r="BU5" s="175">
        <f>J5/K5*10</f>
        <v>7120</v>
      </c>
      <c r="BV5" s="175">
        <f>J5/K5*10</f>
        <v>7120</v>
      </c>
      <c r="BW5" s="175">
        <f>J5/K5*10</f>
        <v>7120</v>
      </c>
      <c r="BX5" s="175">
        <f>J5/K5*10</f>
        <v>7120</v>
      </c>
      <c r="BY5" s="175">
        <f>J5/K5*11</f>
        <v>7832</v>
      </c>
      <c r="BZ5" s="175">
        <f>J5/K5*10</f>
        <v>7120</v>
      </c>
      <c r="CA5" s="175">
        <f>J5/K5*10</f>
        <v>7120</v>
      </c>
      <c r="CB5" s="828"/>
      <c r="CC5" s="828"/>
      <c r="CD5" s="828"/>
      <c r="CE5" s="828"/>
      <c r="CF5" s="624" t="s">
        <v>1861</v>
      </c>
      <c r="CG5" s="49" t="s">
        <v>81</v>
      </c>
      <c r="CH5" s="48" t="s">
        <v>1862</v>
      </c>
      <c r="CI5" s="48"/>
      <c r="CJ5" s="48" t="s">
        <v>1863</v>
      </c>
      <c r="CK5" s="624" t="s">
        <v>1861</v>
      </c>
      <c r="CL5" s="48" t="s">
        <v>1864</v>
      </c>
      <c r="CM5" s="807">
        <v>45999</v>
      </c>
      <c r="CN5" s="211">
        <v>46000</v>
      </c>
      <c r="CO5" s="317"/>
      <c r="CP5" s="211">
        <v>46034</v>
      </c>
      <c r="CQ5" s="213" t="s">
        <v>1866</v>
      </c>
      <c r="CR5" s="159" t="s">
        <v>1867</v>
      </c>
    </row>
    <row r="6" s="311" customFormat="1" ht="25.5" hidden="1" customHeight="1" spans="1:96">
      <c r="A6" s="208">
        <f t="shared" si="0"/>
        <v>3</v>
      </c>
      <c r="B6" s="48" t="s">
        <v>1859</v>
      </c>
      <c r="C6" s="49" t="s">
        <v>124</v>
      </c>
      <c r="D6" s="51" t="s">
        <v>1868</v>
      </c>
      <c r="E6" s="51"/>
      <c r="F6" s="52">
        <v>46094</v>
      </c>
      <c r="G6" s="52">
        <v>46151</v>
      </c>
      <c r="H6" s="52">
        <v>46151</v>
      </c>
      <c r="I6" s="53">
        <v>46134</v>
      </c>
      <c r="J6" s="827">
        <f>SUBTOTAL(9,L6:CA6)</f>
        <v>0</v>
      </c>
      <c r="K6" s="175">
        <v>400</v>
      </c>
      <c r="L6" s="175">
        <v>9306</v>
      </c>
      <c r="M6" s="175">
        <v>9306</v>
      </c>
      <c r="N6" s="175">
        <v>9306</v>
      </c>
      <c r="O6" s="175">
        <v>9306</v>
      </c>
      <c r="P6" s="175">
        <v>9306</v>
      </c>
      <c r="Q6" s="175">
        <v>9306</v>
      </c>
      <c r="R6" s="175">
        <v>9306</v>
      </c>
      <c r="S6" s="175">
        <v>9306</v>
      </c>
      <c r="T6" s="175">
        <v>9306</v>
      </c>
      <c r="U6" s="175">
        <v>9306</v>
      </c>
      <c r="V6" s="175">
        <v>9306</v>
      </c>
      <c r="W6" s="175">
        <v>9306</v>
      </c>
      <c r="X6" s="175">
        <v>9306</v>
      </c>
      <c r="Y6" s="175">
        <v>9306</v>
      </c>
      <c r="Z6" s="175"/>
      <c r="AA6" s="175">
        <v>9306</v>
      </c>
      <c r="AB6" s="175">
        <v>9306</v>
      </c>
      <c r="AC6" s="175">
        <v>8460</v>
      </c>
      <c r="AD6" s="175">
        <v>8460</v>
      </c>
      <c r="AE6" s="175">
        <v>8460</v>
      </c>
      <c r="AF6" s="175">
        <v>9306</v>
      </c>
      <c r="AG6" s="175">
        <v>8460</v>
      </c>
      <c r="AH6" s="175">
        <v>9306</v>
      </c>
      <c r="AI6" s="175">
        <v>9306</v>
      </c>
      <c r="AJ6" s="175">
        <v>8460</v>
      </c>
      <c r="AK6" s="175">
        <v>8460</v>
      </c>
      <c r="AL6" s="175">
        <v>8460</v>
      </c>
      <c r="AM6" s="175">
        <v>8460</v>
      </c>
      <c r="AN6" s="175">
        <v>8460</v>
      </c>
      <c r="AO6" s="175">
        <v>8460</v>
      </c>
      <c r="AP6" s="175">
        <v>8460</v>
      </c>
      <c r="AQ6" s="175"/>
      <c r="AR6" s="175"/>
      <c r="AS6" s="175"/>
      <c r="AT6" s="175"/>
      <c r="AU6" s="175"/>
      <c r="AV6" s="175"/>
      <c r="AW6" s="175"/>
      <c r="AX6" s="175"/>
      <c r="AY6" s="175"/>
      <c r="AZ6" s="175"/>
      <c r="BA6" s="175"/>
      <c r="BB6" s="175"/>
      <c r="BC6" s="175"/>
      <c r="BD6" s="175"/>
      <c r="BE6" s="175"/>
      <c r="BF6" s="175"/>
      <c r="BG6" s="175"/>
      <c r="BH6" s="175"/>
      <c r="BI6" s="175"/>
      <c r="BJ6" s="175"/>
      <c r="BK6" s="175"/>
      <c r="BL6" s="175"/>
      <c r="BM6" s="175"/>
      <c r="BN6" s="175"/>
      <c r="BO6" s="175"/>
      <c r="BP6" s="175"/>
      <c r="BQ6" s="175"/>
      <c r="BR6" s="175"/>
      <c r="BS6" s="175"/>
      <c r="BT6" s="175">
        <v>8460</v>
      </c>
      <c r="BU6" s="175">
        <v>8460</v>
      </c>
      <c r="BV6" s="175">
        <v>8460</v>
      </c>
      <c r="BW6" s="175">
        <v>8460</v>
      </c>
      <c r="BX6" s="175">
        <v>8460</v>
      </c>
      <c r="BY6" s="175">
        <v>9306</v>
      </c>
      <c r="BZ6" s="175">
        <v>8460</v>
      </c>
      <c r="CA6" s="175">
        <v>8460</v>
      </c>
      <c r="CB6" s="175"/>
      <c r="CC6" s="175"/>
      <c r="CD6" s="175"/>
      <c r="CE6" s="175"/>
      <c r="CF6" s="624" t="s">
        <v>1064</v>
      </c>
      <c r="CG6" s="49" t="s">
        <v>81</v>
      </c>
      <c r="CH6" s="48" t="s">
        <v>298</v>
      </c>
      <c r="CI6" s="48" t="s">
        <v>1869</v>
      </c>
      <c r="CJ6" s="48" t="s">
        <v>1731</v>
      </c>
      <c r="CK6" s="624" t="s">
        <v>1064</v>
      </c>
      <c r="CL6" s="48" t="s">
        <v>1864</v>
      </c>
      <c r="CM6" s="807">
        <v>46150</v>
      </c>
      <c r="CN6" s="211">
        <v>46156</v>
      </c>
      <c r="CO6" s="211"/>
      <c r="CP6" s="211" t="s">
        <v>1870</v>
      </c>
      <c r="CQ6" s="213" t="s">
        <v>1871</v>
      </c>
      <c r="CR6" s="159" t="s">
        <v>1867</v>
      </c>
    </row>
    <row r="7" s="311" customFormat="1" ht="25.5" hidden="1" customHeight="1" spans="1:96">
      <c r="A7" s="208">
        <f t="shared" si="0"/>
        <v>4</v>
      </c>
      <c r="B7" s="48" t="s">
        <v>1859</v>
      </c>
      <c r="C7" s="49" t="s">
        <v>124</v>
      </c>
      <c r="D7" s="51" t="s">
        <v>1872</v>
      </c>
      <c r="E7" s="51" t="s">
        <v>1873</v>
      </c>
      <c r="F7" s="52">
        <v>46100</v>
      </c>
      <c r="G7" s="52">
        <v>46212</v>
      </c>
      <c r="H7" s="52">
        <v>46212</v>
      </c>
      <c r="I7" s="53">
        <v>46183</v>
      </c>
      <c r="J7" s="827">
        <f>SUBTOTAL(9,L7:CE7)</f>
        <v>0</v>
      </c>
      <c r="K7" s="175">
        <v>400</v>
      </c>
      <c r="L7" s="175"/>
      <c r="M7" s="175"/>
      <c r="N7" s="175">
        <v>17050</v>
      </c>
      <c r="O7" s="175"/>
      <c r="P7" s="175">
        <v>17050</v>
      </c>
      <c r="Q7" s="175">
        <v>17050</v>
      </c>
      <c r="R7" s="175"/>
      <c r="S7" s="175"/>
      <c r="T7" s="175"/>
      <c r="U7" s="175">
        <v>17050</v>
      </c>
      <c r="V7" s="175"/>
      <c r="W7" s="175"/>
      <c r="X7" s="175"/>
      <c r="Y7" s="175"/>
      <c r="Z7" s="175">
        <v>17050</v>
      </c>
      <c r="AA7" s="175"/>
      <c r="AB7" s="175"/>
      <c r="AC7" s="175"/>
      <c r="AD7" s="175"/>
      <c r="AE7" s="175">
        <v>15500</v>
      </c>
      <c r="AF7" s="175"/>
      <c r="AG7" s="175"/>
      <c r="AH7" s="175"/>
      <c r="AI7" s="175"/>
      <c r="AJ7" s="175">
        <v>15500</v>
      </c>
      <c r="AK7" s="175"/>
      <c r="AL7" s="175"/>
      <c r="AM7" s="175"/>
      <c r="AN7" s="175"/>
      <c r="AO7" s="175"/>
      <c r="AP7" s="175"/>
      <c r="AQ7" s="175">
        <v>15500</v>
      </c>
      <c r="AR7" s="175">
        <v>15500</v>
      </c>
      <c r="AS7" s="175">
        <v>17050</v>
      </c>
      <c r="AT7" s="175">
        <v>15500</v>
      </c>
      <c r="AU7" s="175"/>
      <c r="AV7" s="175">
        <v>17050</v>
      </c>
      <c r="AW7" s="175">
        <v>17050</v>
      </c>
      <c r="AX7" s="175">
        <v>17050</v>
      </c>
      <c r="AY7" s="175">
        <v>17050</v>
      </c>
      <c r="AZ7" s="175">
        <v>17050</v>
      </c>
      <c r="BA7" s="175">
        <v>17050</v>
      </c>
      <c r="BB7" s="175">
        <v>17050</v>
      </c>
      <c r="BC7" s="175">
        <v>17050</v>
      </c>
      <c r="BD7" s="175">
        <v>17050</v>
      </c>
      <c r="BE7" s="175">
        <v>17050</v>
      </c>
      <c r="BF7" s="175">
        <v>17050</v>
      </c>
      <c r="BG7" s="175">
        <v>17050</v>
      </c>
      <c r="BH7" s="175">
        <v>17050</v>
      </c>
      <c r="BI7" s="175">
        <v>17050</v>
      </c>
      <c r="BJ7" s="175">
        <v>17050</v>
      </c>
      <c r="BK7" s="175">
        <v>17050</v>
      </c>
      <c r="BL7" s="175">
        <v>17050</v>
      </c>
      <c r="BM7" s="175">
        <v>17050</v>
      </c>
      <c r="BN7" s="175">
        <v>17050</v>
      </c>
      <c r="BO7" s="175">
        <v>17050</v>
      </c>
      <c r="BP7" s="175">
        <v>15500</v>
      </c>
      <c r="BQ7" s="175">
        <v>17050</v>
      </c>
      <c r="BR7" s="175">
        <v>17050</v>
      </c>
      <c r="BS7" s="175">
        <v>17050</v>
      </c>
      <c r="BT7" s="175">
        <v>17050</v>
      </c>
      <c r="BU7" s="175"/>
      <c r="BV7" s="175"/>
      <c r="BW7" s="175"/>
      <c r="BX7" s="175"/>
      <c r="BY7" s="175"/>
      <c r="BZ7" s="175">
        <v>15500</v>
      </c>
      <c r="CA7" s="175"/>
      <c r="CB7" s="175"/>
      <c r="CC7" s="175"/>
      <c r="CD7" s="175"/>
      <c r="CE7" s="175"/>
      <c r="CF7" s="624" t="s">
        <v>1874</v>
      </c>
      <c r="CG7" s="49" t="s">
        <v>81</v>
      </c>
      <c r="CH7" s="48" t="s">
        <v>168</v>
      </c>
      <c r="CI7" s="48" t="s">
        <v>1875</v>
      </c>
      <c r="CJ7" s="48" t="s">
        <v>1876</v>
      </c>
      <c r="CK7" s="624" t="s">
        <v>1874</v>
      </c>
      <c r="CL7" s="48" t="s">
        <v>1877</v>
      </c>
      <c r="CM7" s="807">
        <v>46212</v>
      </c>
      <c r="CN7" s="211">
        <v>46217</v>
      </c>
      <c r="CO7" s="211" t="s">
        <v>1878</v>
      </c>
      <c r="CP7" s="211">
        <v>46226</v>
      </c>
      <c r="CQ7" s="213" t="s">
        <v>1879</v>
      </c>
      <c r="CR7" s="159" t="s">
        <v>1880</v>
      </c>
    </row>
    <row r="8" s="311" customFormat="1" ht="25.5" hidden="1" customHeight="1" spans="1:96">
      <c r="A8" s="208">
        <f t="shared" si="0"/>
        <v>5</v>
      </c>
      <c r="B8" s="48" t="s">
        <v>1881</v>
      </c>
      <c r="C8" s="49" t="s">
        <v>1882</v>
      </c>
      <c r="D8" s="51" t="s">
        <v>1883</v>
      </c>
      <c r="E8" s="51" t="s">
        <v>1884</v>
      </c>
      <c r="F8" s="52">
        <v>46125</v>
      </c>
      <c r="G8" s="52">
        <v>46212</v>
      </c>
      <c r="H8" s="52">
        <v>46212</v>
      </c>
      <c r="I8" s="53">
        <v>46202</v>
      </c>
      <c r="J8" s="827">
        <f>SUBTOTAL(9,L8:CE8)</f>
        <v>0</v>
      </c>
      <c r="K8" s="175">
        <v>400</v>
      </c>
      <c r="L8" s="175"/>
      <c r="M8" s="175"/>
      <c r="N8" s="175">
        <v>220</v>
      </c>
      <c r="O8" s="175"/>
      <c r="P8" s="175">
        <v>220</v>
      </c>
      <c r="Q8" s="175">
        <v>220</v>
      </c>
      <c r="R8" s="175"/>
      <c r="S8" s="175"/>
      <c r="T8" s="175"/>
      <c r="U8" s="175">
        <v>220</v>
      </c>
      <c r="V8" s="175"/>
      <c r="W8" s="175"/>
      <c r="X8" s="175"/>
      <c r="Y8" s="175"/>
      <c r="Z8" s="175">
        <v>220</v>
      </c>
      <c r="AA8" s="175"/>
      <c r="AB8" s="175"/>
      <c r="AC8" s="175"/>
      <c r="AD8" s="175"/>
      <c r="AE8" s="175">
        <v>200</v>
      </c>
      <c r="AF8" s="175"/>
      <c r="AG8" s="175"/>
      <c r="AH8" s="175"/>
      <c r="AI8" s="175"/>
      <c r="AJ8" s="175">
        <v>200</v>
      </c>
      <c r="AK8" s="175"/>
      <c r="AL8" s="175"/>
      <c r="AM8" s="175"/>
      <c r="AN8" s="175"/>
      <c r="AO8" s="175"/>
      <c r="AP8" s="175"/>
      <c r="AQ8" s="175">
        <v>200</v>
      </c>
      <c r="AR8" s="175">
        <v>200</v>
      </c>
      <c r="AS8" s="175">
        <v>220</v>
      </c>
      <c r="AT8" s="175">
        <v>200</v>
      </c>
      <c r="AU8" s="175"/>
      <c r="AV8" s="175">
        <v>220</v>
      </c>
      <c r="AW8" s="175">
        <v>220</v>
      </c>
      <c r="AX8" s="175">
        <v>220</v>
      </c>
      <c r="AY8" s="175">
        <v>220</v>
      </c>
      <c r="AZ8" s="175">
        <v>220</v>
      </c>
      <c r="BA8" s="175">
        <v>220</v>
      </c>
      <c r="BB8" s="175">
        <v>220</v>
      </c>
      <c r="BC8" s="175">
        <v>220</v>
      </c>
      <c r="BD8" s="175">
        <v>220</v>
      </c>
      <c r="BE8" s="175">
        <v>220</v>
      </c>
      <c r="BF8" s="175">
        <v>220</v>
      </c>
      <c r="BG8" s="175">
        <v>220</v>
      </c>
      <c r="BH8" s="175">
        <v>220</v>
      </c>
      <c r="BI8" s="175">
        <v>220</v>
      </c>
      <c r="BJ8" s="175">
        <v>220</v>
      </c>
      <c r="BK8" s="175">
        <v>220</v>
      </c>
      <c r="BL8" s="175">
        <v>220</v>
      </c>
      <c r="BM8" s="175">
        <v>220</v>
      </c>
      <c r="BN8" s="175">
        <v>220</v>
      </c>
      <c r="BO8" s="175">
        <v>220</v>
      </c>
      <c r="BP8" s="175">
        <v>200</v>
      </c>
      <c r="BQ8" s="175">
        <v>220</v>
      </c>
      <c r="BR8" s="175">
        <v>220</v>
      </c>
      <c r="BS8" s="175">
        <v>220</v>
      </c>
      <c r="BT8" s="175">
        <v>220</v>
      </c>
      <c r="BU8" s="175"/>
      <c r="BV8" s="175"/>
      <c r="BW8" s="175"/>
      <c r="BX8" s="175"/>
      <c r="BY8" s="175"/>
      <c r="BZ8" s="175">
        <v>200</v>
      </c>
      <c r="CA8" s="175"/>
      <c r="CB8" s="175"/>
      <c r="CC8" s="175"/>
      <c r="CD8" s="175"/>
      <c r="CE8" s="175"/>
      <c r="CF8" s="624" t="s">
        <v>1874</v>
      </c>
      <c r="CG8" s="49" t="s">
        <v>81</v>
      </c>
      <c r="CH8" s="48" t="s">
        <v>168</v>
      </c>
      <c r="CI8" s="48" t="s">
        <v>1875</v>
      </c>
      <c r="CJ8" s="48" t="s">
        <v>1876</v>
      </c>
      <c r="CK8" s="624" t="s">
        <v>1874</v>
      </c>
      <c r="CL8" s="48" t="s">
        <v>1885</v>
      </c>
      <c r="CM8" s="807">
        <v>46227</v>
      </c>
      <c r="CN8" s="317">
        <v>46233</v>
      </c>
      <c r="CO8" s="211"/>
      <c r="CP8" s="211">
        <v>46249</v>
      </c>
      <c r="CQ8" s="213" t="s">
        <v>1886</v>
      </c>
      <c r="CR8" s="159" t="s">
        <v>1880</v>
      </c>
    </row>
    <row r="9" s="311" customFormat="1" ht="25.5" hidden="1" customHeight="1" spans="1:96">
      <c r="A9" s="208">
        <f t="shared" si="0"/>
        <v>6</v>
      </c>
      <c r="B9" s="48" t="s">
        <v>1859</v>
      </c>
      <c r="C9" s="49" t="s">
        <v>124</v>
      </c>
      <c r="D9" s="51" t="s">
        <v>1887</v>
      </c>
      <c r="E9" s="51" t="s">
        <v>1888</v>
      </c>
      <c r="F9" s="52">
        <v>46147</v>
      </c>
      <c r="G9" s="52">
        <v>46233</v>
      </c>
      <c r="H9" s="52">
        <v>46233</v>
      </c>
      <c r="I9" s="53">
        <v>46190</v>
      </c>
      <c r="J9" s="827">
        <f>SUBTOTAL(9,L9:CE9)</f>
        <v>0</v>
      </c>
      <c r="K9" s="175">
        <v>400</v>
      </c>
      <c r="L9" s="175">
        <v>16000</v>
      </c>
      <c r="M9" s="175">
        <v>16000</v>
      </c>
      <c r="N9" s="175">
        <v>16000</v>
      </c>
      <c r="O9" s="175"/>
      <c r="P9" s="175"/>
      <c r="Q9" s="175">
        <v>16000</v>
      </c>
      <c r="R9" s="175"/>
      <c r="S9" s="175">
        <v>16000</v>
      </c>
      <c r="T9" s="175"/>
      <c r="U9" s="175">
        <v>16000</v>
      </c>
      <c r="V9" s="175"/>
      <c r="W9" s="175"/>
      <c r="X9" s="175"/>
      <c r="Y9" s="175"/>
      <c r="Z9" s="175"/>
      <c r="AA9" s="175">
        <v>16000</v>
      </c>
      <c r="AB9" s="175">
        <v>16000</v>
      </c>
      <c r="AC9" s="175">
        <v>16000</v>
      </c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>
        <v>16000</v>
      </c>
      <c r="AU9" s="175">
        <v>16000</v>
      </c>
      <c r="AV9" s="175">
        <v>16000</v>
      </c>
      <c r="AW9" s="175">
        <v>16000</v>
      </c>
      <c r="AX9" s="175">
        <v>16000</v>
      </c>
      <c r="AY9" s="175">
        <v>16000</v>
      </c>
      <c r="AZ9" s="175">
        <v>16000</v>
      </c>
      <c r="BA9" s="175">
        <v>16000</v>
      </c>
      <c r="BB9" s="175"/>
      <c r="BC9" s="175">
        <v>16000</v>
      </c>
      <c r="BD9" s="175">
        <v>16000</v>
      </c>
      <c r="BE9" s="175">
        <v>16000</v>
      </c>
      <c r="BF9" s="175">
        <v>16000</v>
      </c>
      <c r="BG9" s="175">
        <v>16000</v>
      </c>
      <c r="BH9" s="175">
        <v>16000</v>
      </c>
      <c r="BI9" s="175">
        <v>16000</v>
      </c>
      <c r="BJ9" s="175">
        <v>16000</v>
      </c>
      <c r="BK9" s="175">
        <v>16000</v>
      </c>
      <c r="BL9" s="175">
        <v>16000</v>
      </c>
      <c r="BM9" s="175">
        <v>16000</v>
      </c>
      <c r="BN9" s="175">
        <v>16000</v>
      </c>
      <c r="BO9" s="175">
        <v>16000</v>
      </c>
      <c r="BP9" s="175">
        <v>16000</v>
      </c>
      <c r="BQ9" s="175">
        <v>16000</v>
      </c>
      <c r="BR9" s="175">
        <v>16000</v>
      </c>
      <c r="BS9" s="175">
        <v>16000</v>
      </c>
      <c r="BT9" s="175"/>
      <c r="BU9" s="175"/>
      <c r="BV9" s="175"/>
      <c r="BW9" s="175"/>
      <c r="BX9" s="175"/>
      <c r="BY9" s="175"/>
      <c r="BZ9" s="175"/>
      <c r="CA9" s="175"/>
      <c r="CB9" s="175">
        <v>24000</v>
      </c>
      <c r="CC9" s="175">
        <v>24000</v>
      </c>
      <c r="CD9" s="175">
        <v>24000</v>
      </c>
      <c r="CE9" s="175">
        <v>24000</v>
      </c>
      <c r="CF9" s="624" t="s">
        <v>1874</v>
      </c>
      <c r="CG9" s="49" t="s">
        <v>81</v>
      </c>
      <c r="CH9" s="48" t="s">
        <v>582</v>
      </c>
      <c r="CI9" s="48" t="s">
        <v>1875</v>
      </c>
      <c r="CJ9" s="48" t="s">
        <v>1876</v>
      </c>
      <c r="CK9" s="624" t="s">
        <v>1874</v>
      </c>
      <c r="CL9" s="48" t="s">
        <v>1877</v>
      </c>
      <c r="CM9" s="807">
        <v>46233</v>
      </c>
      <c r="CN9" s="211">
        <v>46238</v>
      </c>
      <c r="CO9" s="211" t="s">
        <v>1889</v>
      </c>
      <c r="CP9" s="211" t="s">
        <v>1890</v>
      </c>
      <c r="CQ9" s="213" t="s">
        <v>1891</v>
      </c>
      <c r="CR9" s="159" t="s">
        <v>1892</v>
      </c>
    </row>
    <row r="10" s="311" customFormat="1" ht="33" customHeight="1" spans="1:96">
      <c r="A10" s="208">
        <f t="shared" si="0"/>
        <v>7</v>
      </c>
      <c r="B10" s="48" t="s">
        <v>1859</v>
      </c>
      <c r="C10" s="49" t="s">
        <v>124</v>
      </c>
      <c r="D10" s="51" t="s">
        <v>1893</v>
      </c>
      <c r="E10" s="51" t="s">
        <v>1894</v>
      </c>
      <c r="F10" s="52">
        <v>46147</v>
      </c>
      <c r="G10" s="52">
        <v>46261</v>
      </c>
      <c r="H10" s="52">
        <v>46261</v>
      </c>
      <c r="I10" s="53">
        <v>46190</v>
      </c>
      <c r="J10" s="827">
        <f>SUBTOTAL(9,L10:CE10)</f>
        <v>640000</v>
      </c>
      <c r="K10" s="175">
        <v>400</v>
      </c>
      <c r="L10" s="175">
        <v>16000</v>
      </c>
      <c r="M10" s="175">
        <v>16000</v>
      </c>
      <c r="N10" s="175">
        <v>16000</v>
      </c>
      <c r="O10" s="175"/>
      <c r="P10" s="175"/>
      <c r="Q10" s="175">
        <v>16000</v>
      </c>
      <c r="R10" s="175"/>
      <c r="S10" s="175">
        <v>16000</v>
      </c>
      <c r="T10" s="175"/>
      <c r="U10" s="175">
        <v>16000</v>
      </c>
      <c r="V10" s="175"/>
      <c r="W10" s="175"/>
      <c r="X10" s="175"/>
      <c r="Y10" s="175"/>
      <c r="Z10" s="175"/>
      <c r="AA10" s="175">
        <v>16000</v>
      </c>
      <c r="AB10" s="175">
        <v>16000</v>
      </c>
      <c r="AC10" s="175">
        <v>16000</v>
      </c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>
        <v>16000</v>
      </c>
      <c r="AU10" s="175">
        <v>16000</v>
      </c>
      <c r="AV10" s="175">
        <v>16000</v>
      </c>
      <c r="AW10" s="175">
        <v>16000</v>
      </c>
      <c r="AX10" s="175">
        <v>16000</v>
      </c>
      <c r="AY10" s="175">
        <v>16000</v>
      </c>
      <c r="AZ10" s="175">
        <v>16000</v>
      </c>
      <c r="BA10" s="175">
        <v>16000</v>
      </c>
      <c r="BB10" s="175"/>
      <c r="BC10" s="175">
        <v>16000</v>
      </c>
      <c r="BD10" s="175">
        <v>16000</v>
      </c>
      <c r="BE10" s="175">
        <v>16000</v>
      </c>
      <c r="BF10" s="175">
        <v>16000</v>
      </c>
      <c r="BG10" s="175">
        <v>16000</v>
      </c>
      <c r="BH10" s="175">
        <v>16000</v>
      </c>
      <c r="BI10" s="175">
        <v>16000</v>
      </c>
      <c r="BJ10" s="175">
        <v>16000</v>
      </c>
      <c r="BK10" s="175">
        <v>16000</v>
      </c>
      <c r="BL10" s="175">
        <v>16000</v>
      </c>
      <c r="BM10" s="175">
        <v>16000</v>
      </c>
      <c r="BN10" s="175">
        <v>16000</v>
      </c>
      <c r="BO10" s="175">
        <v>16000</v>
      </c>
      <c r="BP10" s="175">
        <v>16000</v>
      </c>
      <c r="BQ10" s="175">
        <v>16000</v>
      </c>
      <c r="BR10" s="175">
        <v>16000</v>
      </c>
      <c r="BS10" s="175">
        <v>16000</v>
      </c>
      <c r="BT10" s="175"/>
      <c r="BU10" s="175"/>
      <c r="BV10" s="175"/>
      <c r="BW10" s="175"/>
      <c r="BX10" s="175"/>
      <c r="BY10" s="175"/>
      <c r="BZ10" s="175"/>
      <c r="CA10" s="175"/>
      <c r="CB10" s="175">
        <v>24000</v>
      </c>
      <c r="CC10" s="175">
        <v>24000</v>
      </c>
      <c r="CD10" s="175">
        <v>24000</v>
      </c>
      <c r="CE10" s="175">
        <v>24000</v>
      </c>
      <c r="CF10" s="624" t="s">
        <v>1895</v>
      </c>
      <c r="CG10" s="49" t="s">
        <v>81</v>
      </c>
      <c r="CH10" s="305" t="s">
        <v>375</v>
      </c>
      <c r="CI10" s="48" t="s">
        <v>1875</v>
      </c>
      <c r="CJ10" s="48" t="s">
        <v>1602</v>
      </c>
      <c r="CK10" s="624" t="s">
        <v>1895</v>
      </c>
      <c r="CL10" s="48" t="s">
        <v>1877</v>
      </c>
      <c r="CM10" s="807">
        <v>46261</v>
      </c>
      <c r="CN10" s="211" t="s">
        <v>1896</v>
      </c>
      <c r="CO10" s="317"/>
      <c r="CP10" s="211"/>
      <c r="CQ10" s="213" t="s">
        <v>1897</v>
      </c>
      <c r="CR10" s="159" t="s">
        <v>1892</v>
      </c>
    </row>
    <row r="11" s="311" customFormat="1" ht="30" customHeight="1" spans="1:96">
      <c r="A11" s="215">
        <f t="shared" si="0"/>
        <v>8</v>
      </c>
      <c r="B11" s="183" t="s">
        <v>1898</v>
      </c>
      <c r="C11" s="96" t="s">
        <v>1882</v>
      </c>
      <c r="D11" s="293" t="s">
        <v>1899</v>
      </c>
      <c r="E11" s="293" t="s">
        <v>1900</v>
      </c>
      <c r="F11" s="217">
        <v>46168</v>
      </c>
      <c r="G11" s="217">
        <v>46276</v>
      </c>
      <c r="H11" s="217">
        <v>46276</v>
      </c>
      <c r="I11" s="218">
        <v>46245</v>
      </c>
      <c r="J11" s="829">
        <f>SUBTOTAL(9,L11:CE11)</f>
        <v>32000</v>
      </c>
      <c r="K11" s="95">
        <v>400</v>
      </c>
      <c r="L11" s="95"/>
      <c r="M11" s="95"/>
      <c r="N11" s="95">
        <v>880</v>
      </c>
      <c r="O11" s="95"/>
      <c r="P11" s="95">
        <v>880</v>
      </c>
      <c r="Q11" s="95">
        <v>880</v>
      </c>
      <c r="R11" s="95"/>
      <c r="S11" s="95"/>
      <c r="T11" s="95"/>
      <c r="U11" s="95">
        <v>880</v>
      </c>
      <c r="V11" s="95"/>
      <c r="W11" s="95"/>
      <c r="X11" s="95"/>
      <c r="Y11" s="95"/>
      <c r="Z11" s="95">
        <v>880</v>
      </c>
      <c r="AA11" s="95"/>
      <c r="AB11" s="95"/>
      <c r="AC11" s="95"/>
      <c r="AD11" s="95"/>
      <c r="AE11" s="95">
        <v>800</v>
      </c>
      <c r="AF11" s="95"/>
      <c r="AG11" s="95"/>
      <c r="AH11" s="95"/>
      <c r="AI11" s="95"/>
      <c r="AJ11" s="95">
        <v>800</v>
      </c>
      <c r="AK11" s="95"/>
      <c r="AL11" s="95"/>
      <c r="AM11" s="95"/>
      <c r="AN11" s="95"/>
      <c r="AO11" s="95"/>
      <c r="AP11" s="95"/>
      <c r="AQ11" s="95">
        <v>800</v>
      </c>
      <c r="AR11" s="95">
        <v>800</v>
      </c>
      <c r="AS11" s="95">
        <v>880</v>
      </c>
      <c r="AT11" s="95">
        <v>800</v>
      </c>
      <c r="AU11" s="95"/>
      <c r="AV11" s="95">
        <v>880</v>
      </c>
      <c r="AW11" s="95">
        <v>880</v>
      </c>
      <c r="AX11" s="95">
        <v>880</v>
      </c>
      <c r="AY11" s="95">
        <v>880</v>
      </c>
      <c r="AZ11" s="95">
        <v>880</v>
      </c>
      <c r="BA11" s="95">
        <v>880</v>
      </c>
      <c r="BB11" s="95">
        <v>880</v>
      </c>
      <c r="BC11" s="95">
        <v>880</v>
      </c>
      <c r="BD11" s="95">
        <v>880</v>
      </c>
      <c r="BE11" s="95">
        <v>880</v>
      </c>
      <c r="BF11" s="95">
        <v>880</v>
      </c>
      <c r="BG11" s="95">
        <v>880</v>
      </c>
      <c r="BH11" s="95">
        <v>880</v>
      </c>
      <c r="BI11" s="95">
        <v>880</v>
      </c>
      <c r="BJ11" s="95">
        <v>880</v>
      </c>
      <c r="BK11" s="95">
        <v>880</v>
      </c>
      <c r="BL11" s="95">
        <v>880</v>
      </c>
      <c r="BM11" s="95">
        <v>880</v>
      </c>
      <c r="BN11" s="95">
        <v>880</v>
      </c>
      <c r="BO11" s="95">
        <v>880</v>
      </c>
      <c r="BP11" s="95">
        <v>800</v>
      </c>
      <c r="BQ11" s="95">
        <v>880</v>
      </c>
      <c r="BR11" s="95">
        <v>880</v>
      </c>
      <c r="BS11" s="95">
        <v>880</v>
      </c>
      <c r="BT11" s="95">
        <v>880</v>
      </c>
      <c r="BU11" s="95"/>
      <c r="BV11" s="95"/>
      <c r="BW11" s="95"/>
      <c r="BX11" s="95"/>
      <c r="BY11" s="95"/>
      <c r="BZ11" s="95">
        <v>800</v>
      </c>
      <c r="CA11" s="95"/>
      <c r="CB11" s="830"/>
      <c r="CC11" s="830"/>
      <c r="CD11" s="830"/>
      <c r="CE11" s="830"/>
      <c r="CF11" s="745" t="s">
        <v>1901</v>
      </c>
      <c r="CG11" s="96" t="s">
        <v>81</v>
      </c>
      <c r="CH11" s="183" t="s">
        <v>629</v>
      </c>
      <c r="CI11" s="183" t="s">
        <v>1902</v>
      </c>
      <c r="CJ11" s="183" t="s">
        <v>1903</v>
      </c>
      <c r="CK11" s="729" t="s">
        <v>1901</v>
      </c>
      <c r="CL11" s="183" t="s">
        <v>1904</v>
      </c>
      <c r="CM11" s="831">
        <v>46276</v>
      </c>
      <c r="CN11" s="279">
        <v>46280</v>
      </c>
      <c r="CO11" s="321"/>
      <c r="CP11" s="279"/>
      <c r="CQ11" s="224"/>
      <c r="CR11" s="159" t="s">
        <v>1880</v>
      </c>
    </row>
    <row r="12" s="311" customFormat="1" ht="25.5" hidden="1" customHeight="1" spans="1:96">
      <c r="A12" s="215">
        <f t="shared" si="0"/>
        <v>9</v>
      </c>
      <c r="B12" s="183" t="s">
        <v>1898</v>
      </c>
      <c r="C12" s="96" t="s">
        <v>1882</v>
      </c>
      <c r="D12" s="293" t="s">
        <v>1899</v>
      </c>
      <c r="E12" s="832" t="s">
        <v>575</v>
      </c>
      <c r="F12" s="217"/>
      <c r="G12" s="217"/>
      <c r="H12" s="217"/>
      <c r="I12" s="218"/>
      <c r="J12" s="829"/>
      <c r="K12" s="95"/>
      <c r="L12" s="95"/>
      <c r="M12" s="95"/>
      <c r="N12" s="95">
        <v>1</v>
      </c>
      <c r="O12" s="95"/>
      <c r="P12" s="95">
        <v>1</v>
      </c>
      <c r="Q12" s="95">
        <v>1</v>
      </c>
      <c r="R12" s="95"/>
      <c r="S12" s="95"/>
      <c r="T12" s="95"/>
      <c r="U12" s="95">
        <v>1</v>
      </c>
      <c r="V12" s="95"/>
      <c r="W12" s="95"/>
      <c r="X12" s="95"/>
      <c r="Y12" s="95"/>
      <c r="Z12" s="95">
        <v>1</v>
      </c>
      <c r="AA12" s="95"/>
      <c r="AB12" s="95"/>
      <c r="AC12" s="95"/>
      <c r="AD12" s="95"/>
      <c r="AE12" s="95">
        <v>1</v>
      </c>
      <c r="AF12" s="95"/>
      <c r="AG12" s="95"/>
      <c r="AH12" s="95"/>
      <c r="AI12" s="95"/>
      <c r="AJ12" s="95">
        <v>1</v>
      </c>
      <c r="AK12" s="95"/>
      <c r="AL12" s="95"/>
      <c r="AM12" s="95"/>
      <c r="AN12" s="95"/>
      <c r="AO12" s="95"/>
      <c r="AP12" s="95"/>
      <c r="AQ12" s="95">
        <v>1</v>
      </c>
      <c r="AR12" s="95">
        <v>1</v>
      </c>
      <c r="AS12" s="95">
        <v>1</v>
      </c>
      <c r="AT12" s="95">
        <v>1</v>
      </c>
      <c r="AU12" s="95"/>
      <c r="AV12" s="95">
        <v>1</v>
      </c>
      <c r="AW12" s="95">
        <v>1</v>
      </c>
      <c r="AX12" s="95">
        <v>1</v>
      </c>
      <c r="AY12" s="95">
        <v>1</v>
      </c>
      <c r="AZ12" s="95">
        <v>1</v>
      </c>
      <c r="BA12" s="95">
        <v>1</v>
      </c>
      <c r="BB12" s="95">
        <v>1</v>
      </c>
      <c r="BC12" s="95">
        <v>1</v>
      </c>
      <c r="BD12" s="95">
        <v>1</v>
      </c>
      <c r="BE12" s="95">
        <v>1</v>
      </c>
      <c r="BF12" s="95">
        <v>1</v>
      </c>
      <c r="BG12" s="95">
        <v>1</v>
      </c>
      <c r="BH12" s="95">
        <v>1</v>
      </c>
      <c r="BI12" s="95">
        <v>1</v>
      </c>
      <c r="BJ12" s="95">
        <v>1</v>
      </c>
      <c r="BK12" s="95">
        <v>1</v>
      </c>
      <c r="BL12" s="95">
        <v>1</v>
      </c>
      <c r="BM12" s="95">
        <v>1</v>
      </c>
      <c r="BN12" s="95">
        <v>1</v>
      </c>
      <c r="BO12" s="95">
        <v>1</v>
      </c>
      <c r="BP12" s="95">
        <v>1</v>
      </c>
      <c r="BQ12" s="95">
        <v>1</v>
      </c>
      <c r="BR12" s="95">
        <v>1</v>
      </c>
      <c r="BS12" s="95">
        <v>1</v>
      </c>
      <c r="BT12" s="95">
        <v>1</v>
      </c>
      <c r="BU12" s="95"/>
      <c r="BV12" s="95"/>
      <c r="BW12" s="95"/>
      <c r="BX12" s="95"/>
      <c r="BY12" s="95"/>
      <c r="BZ12" s="95">
        <v>1</v>
      </c>
      <c r="CA12" s="95"/>
      <c r="CB12" s="833"/>
      <c r="CC12" s="833"/>
      <c r="CD12" s="833"/>
      <c r="CE12" s="833"/>
      <c r="CF12" s="745" t="s">
        <v>1901</v>
      </c>
      <c r="CG12" s="96"/>
      <c r="CH12" s="183"/>
      <c r="CI12" s="183"/>
      <c r="CJ12" s="183"/>
      <c r="CK12" s="729" t="s">
        <v>1901</v>
      </c>
      <c r="CL12" s="183" t="s">
        <v>1905</v>
      </c>
      <c r="CM12" s="831">
        <v>46263</v>
      </c>
      <c r="CN12" s="321"/>
      <c r="CO12" s="321"/>
      <c r="CP12" s="279">
        <v>46261</v>
      </c>
      <c r="CQ12" s="224"/>
      <c r="CR12" s="159"/>
    </row>
    <row r="13" s="311" customFormat="1" ht="25.5" customHeight="1" spans="1:96">
      <c r="A13" s="215"/>
      <c r="B13" s="183"/>
      <c r="C13" s="96"/>
      <c r="D13" s="293"/>
      <c r="E13" s="293"/>
      <c r="F13" s="217"/>
      <c r="G13" s="217"/>
      <c r="H13" s="217"/>
      <c r="I13" s="218"/>
      <c r="J13" s="829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  <c r="BT13" s="95"/>
      <c r="BU13" s="95"/>
      <c r="BV13" s="95"/>
      <c r="BW13" s="95"/>
      <c r="BX13" s="95"/>
      <c r="BY13" s="95"/>
      <c r="BZ13" s="95"/>
      <c r="CA13" s="95"/>
      <c r="CB13" s="833"/>
      <c r="CC13" s="833"/>
      <c r="CD13" s="833"/>
      <c r="CE13" s="833"/>
      <c r="CF13" s="779"/>
      <c r="CG13" s="96"/>
      <c r="CH13" s="183"/>
      <c r="CI13" s="183"/>
      <c r="CJ13" s="183"/>
      <c r="CK13" s="729"/>
      <c r="CL13" s="183"/>
      <c r="CM13" s="280"/>
      <c r="CN13" s="279"/>
      <c r="CO13" s="279"/>
      <c r="CP13" s="279"/>
      <c r="CQ13" s="224"/>
      <c r="CR13" s="159"/>
    </row>
    <row r="14" s="311" customFormat="1" ht="25.5" customHeight="1" spans="1:96">
      <c r="A14" s="215"/>
      <c r="B14" s="183"/>
      <c r="C14" s="96"/>
      <c r="D14" s="293"/>
      <c r="E14" s="293"/>
      <c r="F14" s="217"/>
      <c r="G14" s="217"/>
      <c r="H14" s="217"/>
      <c r="I14" s="218"/>
      <c r="J14" s="829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95"/>
      <c r="BR14" s="95"/>
      <c r="BS14" s="95"/>
      <c r="BT14" s="95"/>
      <c r="BU14" s="95"/>
      <c r="BV14" s="95"/>
      <c r="BW14" s="95"/>
      <c r="BX14" s="95"/>
      <c r="BY14" s="95"/>
      <c r="BZ14" s="95"/>
      <c r="CA14" s="95"/>
      <c r="CB14" s="833"/>
      <c r="CC14" s="833"/>
      <c r="CD14" s="833"/>
      <c r="CE14" s="833"/>
      <c r="CF14" s="779"/>
      <c r="CG14" s="96"/>
      <c r="CH14" s="183"/>
      <c r="CI14" s="183"/>
      <c r="CJ14" s="183"/>
      <c r="CK14" s="729"/>
      <c r="CL14" s="183"/>
      <c r="CM14" s="280"/>
      <c r="CN14" s="279"/>
      <c r="CO14" s="279"/>
      <c r="CP14" s="279"/>
      <c r="CQ14" s="224"/>
      <c r="CR14" s="159"/>
    </row>
    <row r="15" s="3" customFormat="1" ht="17.1" customHeight="1" spans="1:96">
      <c r="A15" s="93" t="s">
        <v>66</v>
      </c>
      <c r="B15" s="94"/>
      <c r="C15" s="94"/>
      <c r="D15" s="94"/>
      <c r="E15" s="94"/>
      <c r="F15" s="94"/>
      <c r="G15" s="94"/>
      <c r="H15" s="94"/>
      <c r="I15" s="94"/>
      <c r="J15" s="829">
        <f>SUM(J4:J14)</f>
        <v>957200</v>
      </c>
      <c r="K15" s="95"/>
      <c r="L15" s="95">
        <f t="shared" ref="L15:AA15" si="1">SUM(L4:L14)</f>
        <v>49149</v>
      </c>
      <c r="M15" s="95">
        <f t="shared" si="1"/>
        <v>49149</v>
      </c>
      <c r="N15" s="95">
        <f t="shared" si="1"/>
        <v>67300</v>
      </c>
      <c r="O15" s="95">
        <f t="shared" si="1"/>
        <v>17149</v>
      </c>
      <c r="P15" s="95">
        <f t="shared" si="1"/>
        <v>35300</v>
      </c>
      <c r="Q15" s="95">
        <f t="shared" si="1"/>
        <v>67300</v>
      </c>
      <c r="R15" s="95">
        <f t="shared" si="1"/>
        <v>17149</v>
      </c>
      <c r="S15" s="95">
        <f t="shared" si="1"/>
        <v>49149</v>
      </c>
      <c r="T15" s="95">
        <f t="shared" si="1"/>
        <v>17149</v>
      </c>
      <c r="U15" s="95">
        <f t="shared" si="1"/>
        <v>67300</v>
      </c>
      <c r="V15" s="95">
        <f t="shared" si="1"/>
        <v>17149</v>
      </c>
      <c r="W15" s="95">
        <f t="shared" si="1"/>
        <v>17149</v>
      </c>
      <c r="X15" s="95">
        <f t="shared" si="1"/>
        <v>17149</v>
      </c>
      <c r="Y15" s="95">
        <f t="shared" si="1"/>
        <v>17149</v>
      </c>
      <c r="Z15" s="95">
        <f t="shared" si="1"/>
        <v>18151</v>
      </c>
      <c r="AA15" s="95">
        <f t="shared" si="1"/>
        <v>49149</v>
      </c>
      <c r="AB15" s="95">
        <f>SUM($AB4:$AB14)</f>
        <v>49149</v>
      </c>
      <c r="AC15" s="95">
        <f t="shared" ref="AC15:CE15" si="2">SUM(AC4:AC14)</f>
        <v>47590</v>
      </c>
      <c r="AD15" s="95">
        <f t="shared" si="2"/>
        <v>15590</v>
      </c>
      <c r="AE15" s="95">
        <f t="shared" si="2"/>
        <v>32091</v>
      </c>
      <c r="AF15" s="95">
        <f t="shared" si="2"/>
        <v>17149</v>
      </c>
      <c r="AG15" s="95">
        <f t="shared" si="2"/>
        <v>15590</v>
      </c>
      <c r="AH15" s="95">
        <f t="shared" si="2"/>
        <v>17149</v>
      </c>
      <c r="AI15" s="95">
        <f t="shared" si="2"/>
        <v>17149</v>
      </c>
      <c r="AJ15" s="95">
        <f t="shared" si="2"/>
        <v>32091</v>
      </c>
      <c r="AK15" s="95">
        <f t="shared" si="2"/>
        <v>15590</v>
      </c>
      <c r="AL15" s="95">
        <f t="shared" si="2"/>
        <v>15590</v>
      </c>
      <c r="AM15" s="95">
        <f t="shared" si="2"/>
        <v>15590</v>
      </c>
      <c r="AN15" s="95">
        <f t="shared" si="2"/>
        <v>15590</v>
      </c>
      <c r="AO15" s="95">
        <f t="shared" si="2"/>
        <v>15590</v>
      </c>
      <c r="AP15" s="95">
        <f t="shared" si="2"/>
        <v>15590</v>
      </c>
      <c r="AQ15" s="95">
        <f t="shared" si="2"/>
        <v>16501</v>
      </c>
      <c r="AR15" s="95">
        <f t="shared" si="2"/>
        <v>16501</v>
      </c>
      <c r="AS15" s="95">
        <f t="shared" si="2"/>
        <v>18151</v>
      </c>
      <c r="AT15" s="95">
        <f t="shared" si="2"/>
        <v>48501</v>
      </c>
      <c r="AU15" s="95">
        <f t="shared" si="2"/>
        <v>32000</v>
      </c>
      <c r="AV15" s="95">
        <f t="shared" si="2"/>
        <v>50151</v>
      </c>
      <c r="AW15" s="95">
        <f t="shared" si="2"/>
        <v>50151</v>
      </c>
      <c r="AX15" s="95">
        <f t="shared" si="2"/>
        <v>50151</v>
      </c>
      <c r="AY15" s="95">
        <f t="shared" si="2"/>
        <v>50151</v>
      </c>
      <c r="AZ15" s="95">
        <f t="shared" si="2"/>
        <v>50151</v>
      </c>
      <c r="BA15" s="95">
        <f t="shared" si="2"/>
        <v>50151</v>
      </c>
      <c r="BB15" s="95">
        <f t="shared" si="2"/>
        <v>18151</v>
      </c>
      <c r="BC15" s="95">
        <f t="shared" si="2"/>
        <v>50151</v>
      </c>
      <c r="BD15" s="95">
        <f t="shared" si="2"/>
        <v>50151</v>
      </c>
      <c r="BE15" s="95">
        <f t="shared" si="2"/>
        <v>50151</v>
      </c>
      <c r="BF15" s="95">
        <f t="shared" si="2"/>
        <v>50151</v>
      </c>
      <c r="BG15" s="95">
        <f t="shared" si="2"/>
        <v>50151</v>
      </c>
      <c r="BH15" s="95">
        <f t="shared" si="2"/>
        <v>50151</v>
      </c>
      <c r="BI15" s="95">
        <f t="shared" si="2"/>
        <v>50151</v>
      </c>
      <c r="BJ15" s="95">
        <f t="shared" si="2"/>
        <v>50151</v>
      </c>
      <c r="BK15" s="95">
        <f t="shared" si="2"/>
        <v>50151</v>
      </c>
      <c r="BL15" s="95">
        <f t="shared" si="2"/>
        <v>50151</v>
      </c>
      <c r="BM15" s="95">
        <f t="shared" si="2"/>
        <v>50151</v>
      </c>
      <c r="BN15" s="95">
        <f t="shared" si="2"/>
        <v>50151</v>
      </c>
      <c r="BO15" s="95">
        <f t="shared" si="2"/>
        <v>50151</v>
      </c>
      <c r="BP15" s="95">
        <f t="shared" si="2"/>
        <v>48501</v>
      </c>
      <c r="BQ15" s="95">
        <f t="shared" si="2"/>
        <v>50151</v>
      </c>
      <c r="BR15" s="95">
        <f t="shared" si="2"/>
        <v>50151</v>
      </c>
      <c r="BS15" s="95">
        <f t="shared" si="2"/>
        <v>50151</v>
      </c>
      <c r="BT15" s="95">
        <f t="shared" si="2"/>
        <v>33741</v>
      </c>
      <c r="BU15" s="95">
        <f t="shared" si="2"/>
        <v>15590</v>
      </c>
      <c r="BV15" s="95">
        <f t="shared" si="2"/>
        <v>15590</v>
      </c>
      <c r="BW15" s="95">
        <f t="shared" si="2"/>
        <v>15590</v>
      </c>
      <c r="BX15" s="95">
        <f t="shared" si="2"/>
        <v>15590</v>
      </c>
      <c r="BY15" s="95">
        <f t="shared" si="2"/>
        <v>17149</v>
      </c>
      <c r="BZ15" s="95">
        <f t="shared" si="2"/>
        <v>32091</v>
      </c>
      <c r="CA15" s="95">
        <f t="shared" si="2"/>
        <v>15590</v>
      </c>
      <c r="CB15" s="95">
        <f t="shared" si="2"/>
        <v>48000</v>
      </c>
      <c r="CC15" s="95">
        <f t="shared" si="2"/>
        <v>48000</v>
      </c>
      <c r="CD15" s="95">
        <f t="shared" si="2"/>
        <v>48000</v>
      </c>
      <c r="CE15" s="95">
        <f t="shared" si="2"/>
        <v>48000</v>
      </c>
      <c r="CF15" s="183"/>
      <c r="CG15" s="96"/>
      <c r="CH15" s="96"/>
      <c r="CI15" s="96"/>
      <c r="CJ15" s="96"/>
      <c r="CK15" s="183"/>
      <c r="CL15" s="96"/>
      <c r="CM15" s="97"/>
      <c r="CN15" s="97"/>
      <c r="CO15" s="97"/>
      <c r="CP15" s="97"/>
      <c r="CQ15" s="239"/>
    </row>
    <row r="16" s="817" customFormat="1" ht="17.1" customHeight="1" spans="1:96">
      <c r="A16" s="834"/>
      <c r="B16" s="134"/>
      <c r="C16" s="134"/>
      <c r="D16" s="134"/>
      <c r="E16" s="134"/>
      <c r="F16" s="134"/>
      <c r="G16" s="134"/>
      <c r="H16" s="134"/>
      <c r="I16" s="134"/>
      <c r="J16" s="134">
        <f>SUM(L16:CA16)</f>
        <v>2371600</v>
      </c>
      <c r="K16" s="134"/>
      <c r="L16" s="134">
        <f>7843+7832+1474+32000</f>
        <v>49149</v>
      </c>
      <c r="M16" s="134">
        <f>7843+7832+1474+32000</f>
        <v>49149</v>
      </c>
      <c r="N16" s="134">
        <f>7843+7832+1474+49050+220+880</f>
        <v>67299</v>
      </c>
      <c r="O16" s="134">
        <f t="shared" ref="O16:Y16" si="3">7843+7832+1474</f>
        <v>17149</v>
      </c>
      <c r="P16" s="134">
        <f>7843+7832+1474+17050+220+880</f>
        <v>35299</v>
      </c>
      <c r="Q16" s="134">
        <f>7843+7832+1474+49050+220+880</f>
        <v>67299</v>
      </c>
      <c r="R16" s="134">
        <f t="shared" si="3"/>
        <v>17149</v>
      </c>
      <c r="S16" s="134">
        <f>7843+7832+1474+32000</f>
        <v>49149</v>
      </c>
      <c r="T16" s="134">
        <f t="shared" si="3"/>
        <v>17149</v>
      </c>
      <c r="U16" s="134">
        <f>7843+7832+1474+49050+220+880</f>
        <v>67299</v>
      </c>
      <c r="V16" s="134">
        <f t="shared" si="3"/>
        <v>17149</v>
      </c>
      <c r="W16" s="134">
        <f t="shared" si="3"/>
        <v>17149</v>
      </c>
      <c r="X16" s="134">
        <f t="shared" si="3"/>
        <v>17149</v>
      </c>
      <c r="Y16" s="134">
        <f t="shared" si="3"/>
        <v>17149</v>
      </c>
      <c r="Z16" s="134">
        <f>17050+220+880</f>
        <v>18150</v>
      </c>
      <c r="AA16" s="134">
        <f>7843+7832+1474+32000</f>
        <v>49149</v>
      </c>
      <c r="AB16" s="134">
        <f>7843+7832+1474+32000</f>
        <v>49149</v>
      </c>
      <c r="AC16" s="134">
        <f>7130+7120+1340+32000</f>
        <v>47590</v>
      </c>
      <c r="AD16" s="134">
        <f>7130+7120+1340</f>
        <v>15590</v>
      </c>
      <c r="AE16" s="134">
        <f>7130+7120+1340+15500+200+800</f>
        <v>32090</v>
      </c>
      <c r="AF16" s="134">
        <f>7843+7832+1474</f>
        <v>17149</v>
      </c>
      <c r="AG16" s="134">
        <f>7130+7120+1340</f>
        <v>15590</v>
      </c>
      <c r="AH16" s="134">
        <f>7843+7832+1474</f>
        <v>17149</v>
      </c>
      <c r="AI16" s="134">
        <f>7843+7832+1474</f>
        <v>17149</v>
      </c>
      <c r="AJ16" s="134">
        <f>7130+7120+1340+15500+200+800</f>
        <v>32090</v>
      </c>
      <c r="AK16" s="134">
        <f t="shared" ref="AK16:BX16" si="4">7130+7120+1340</f>
        <v>15590</v>
      </c>
      <c r="AL16" s="134">
        <f t="shared" si="4"/>
        <v>15590</v>
      </c>
      <c r="AM16" s="134">
        <f t="shared" si="4"/>
        <v>15590</v>
      </c>
      <c r="AN16" s="134">
        <f t="shared" si="4"/>
        <v>15590</v>
      </c>
      <c r="AO16" s="134">
        <f t="shared" si="4"/>
        <v>15590</v>
      </c>
      <c r="AP16" s="134">
        <f t="shared" si="4"/>
        <v>15590</v>
      </c>
      <c r="AQ16" s="134">
        <f>15500+200+800</f>
        <v>16500</v>
      </c>
      <c r="AR16" s="134">
        <f>15500+200+800</f>
        <v>16500</v>
      </c>
      <c r="AS16" s="134">
        <f>17050+220+880</f>
        <v>18150</v>
      </c>
      <c r="AT16" s="134">
        <f>47500+200+800</f>
        <v>48500</v>
      </c>
      <c r="AU16" s="134">
        <f>32000</f>
        <v>32000</v>
      </c>
      <c r="AV16" s="134">
        <f t="shared" ref="AV16:BA16" si="5">49050+220+880</f>
        <v>50150</v>
      </c>
      <c r="AW16" s="134">
        <f t="shared" si="5"/>
        <v>50150</v>
      </c>
      <c r="AX16" s="134">
        <f t="shared" si="5"/>
        <v>50150</v>
      </c>
      <c r="AY16" s="134">
        <f t="shared" si="5"/>
        <v>50150</v>
      </c>
      <c r="AZ16" s="134">
        <f t="shared" si="5"/>
        <v>50150</v>
      </c>
      <c r="BA16" s="134">
        <f t="shared" si="5"/>
        <v>50150</v>
      </c>
      <c r="BB16" s="134">
        <f>17050+220+880</f>
        <v>18150</v>
      </c>
      <c r="BC16" s="134">
        <f t="shared" ref="BC16:BO16" si="6">49050+220+880</f>
        <v>50150</v>
      </c>
      <c r="BD16" s="134">
        <f t="shared" si="6"/>
        <v>50150</v>
      </c>
      <c r="BE16" s="134">
        <f t="shared" si="6"/>
        <v>50150</v>
      </c>
      <c r="BF16" s="134">
        <f t="shared" si="6"/>
        <v>50150</v>
      </c>
      <c r="BG16" s="134">
        <f t="shared" si="6"/>
        <v>50150</v>
      </c>
      <c r="BH16" s="134">
        <f t="shared" si="6"/>
        <v>50150</v>
      </c>
      <c r="BI16" s="134">
        <f t="shared" si="6"/>
        <v>50150</v>
      </c>
      <c r="BJ16" s="134">
        <f t="shared" si="6"/>
        <v>50150</v>
      </c>
      <c r="BK16" s="134">
        <f t="shared" si="6"/>
        <v>50150</v>
      </c>
      <c r="BL16" s="134">
        <f t="shared" si="6"/>
        <v>50150</v>
      </c>
      <c r="BM16" s="134">
        <f t="shared" si="6"/>
        <v>50150</v>
      </c>
      <c r="BN16" s="134">
        <f t="shared" si="6"/>
        <v>50150</v>
      </c>
      <c r="BO16" s="134">
        <f t="shared" si="6"/>
        <v>50150</v>
      </c>
      <c r="BP16" s="134">
        <f>47500+200+800</f>
        <v>48500</v>
      </c>
      <c r="BQ16" s="134">
        <f>49050+220+880</f>
        <v>50150</v>
      </c>
      <c r="BR16" s="134">
        <f>49050+220+880</f>
        <v>50150</v>
      </c>
      <c r="BS16" s="134">
        <f>49050+220+880</f>
        <v>50150</v>
      </c>
      <c r="BT16" s="134">
        <f>7130+7120+1340+17050+220+880</f>
        <v>33740</v>
      </c>
      <c r="BU16" s="134">
        <f t="shared" si="4"/>
        <v>15590</v>
      </c>
      <c r="BV16" s="134">
        <f t="shared" si="4"/>
        <v>15590</v>
      </c>
      <c r="BW16" s="134">
        <f t="shared" si="4"/>
        <v>15590</v>
      </c>
      <c r="BX16" s="134">
        <f t="shared" si="4"/>
        <v>15590</v>
      </c>
      <c r="BY16" s="134">
        <f>7843+7832+1474</f>
        <v>17149</v>
      </c>
      <c r="BZ16" s="134">
        <f>7130+7120+1340+15500+200+800</f>
        <v>32090</v>
      </c>
      <c r="CA16" s="134">
        <f>7130+7120+1340</f>
        <v>15590</v>
      </c>
      <c r="CB16" s="134">
        <f>48000</f>
        <v>48000</v>
      </c>
      <c r="CC16" s="134">
        <f>48000</f>
        <v>48000</v>
      </c>
      <c r="CD16" s="134">
        <f>48000</f>
        <v>48000</v>
      </c>
      <c r="CE16" s="134">
        <f>48000</f>
        <v>48000</v>
      </c>
      <c r="CF16" s="835"/>
      <c r="CG16" s="134"/>
      <c r="CH16" s="134"/>
      <c r="CI16" s="134"/>
      <c r="CJ16" s="134"/>
      <c r="CK16" s="835"/>
      <c r="CL16" s="134"/>
      <c r="CM16" s="134"/>
      <c r="CN16" s="134"/>
      <c r="CO16" s="134"/>
      <c r="CP16" s="134"/>
      <c r="CQ16" s="836"/>
      <c r="CR16" s="837"/>
    </row>
    <row r="17" s="4" customFormat="1" ht="17.1" customHeight="1" spans="1:95">
      <c r="A17" s="241" t="s">
        <v>67</v>
      </c>
      <c r="B17" s="242"/>
      <c r="C17" s="242"/>
      <c r="D17" s="242"/>
      <c r="E17" s="242"/>
      <c r="F17" s="242"/>
      <c r="G17" s="242"/>
      <c r="H17" s="242"/>
      <c r="I17" s="243"/>
      <c r="J17" s="838">
        <f>SUM(L17:CA17)</f>
        <v>-37</v>
      </c>
      <c r="K17" s="245"/>
      <c r="L17" s="106">
        <f t="shared" ref="L17:CB17" si="7">L16-L15</f>
        <v>0</v>
      </c>
      <c r="M17" s="106">
        <f t="shared" si="7"/>
        <v>0</v>
      </c>
      <c r="N17" s="106">
        <f t="shared" si="7"/>
        <v>-1</v>
      </c>
      <c r="O17" s="106">
        <f t="shared" si="7"/>
        <v>0</v>
      </c>
      <c r="P17" s="106">
        <f t="shared" si="7"/>
        <v>-1</v>
      </c>
      <c r="Q17" s="106">
        <f t="shared" si="7"/>
        <v>-1</v>
      </c>
      <c r="R17" s="106">
        <f t="shared" si="7"/>
        <v>0</v>
      </c>
      <c r="S17" s="106">
        <f t="shared" si="7"/>
        <v>0</v>
      </c>
      <c r="T17" s="106">
        <f t="shared" si="7"/>
        <v>0</v>
      </c>
      <c r="U17" s="106">
        <f t="shared" si="7"/>
        <v>-1</v>
      </c>
      <c r="V17" s="106">
        <f t="shared" si="7"/>
        <v>0</v>
      </c>
      <c r="W17" s="106">
        <f t="shared" si="7"/>
        <v>0</v>
      </c>
      <c r="X17" s="106">
        <f t="shared" si="7"/>
        <v>0</v>
      </c>
      <c r="Y17" s="106">
        <f t="shared" si="7"/>
        <v>0</v>
      </c>
      <c r="Z17" s="106">
        <f t="shared" si="7"/>
        <v>-1</v>
      </c>
      <c r="AA17" s="106">
        <f t="shared" si="7"/>
        <v>0</v>
      </c>
      <c r="AB17" s="106">
        <f t="shared" si="7"/>
        <v>0</v>
      </c>
      <c r="AC17" s="106">
        <f t="shared" si="7"/>
        <v>0</v>
      </c>
      <c r="AD17" s="106">
        <f t="shared" si="7"/>
        <v>0</v>
      </c>
      <c r="AE17" s="106">
        <f t="shared" si="7"/>
        <v>-1</v>
      </c>
      <c r="AF17" s="106">
        <f t="shared" si="7"/>
        <v>0</v>
      </c>
      <c r="AG17" s="106">
        <f t="shared" si="7"/>
        <v>0</v>
      </c>
      <c r="AH17" s="106">
        <f t="shared" si="7"/>
        <v>0</v>
      </c>
      <c r="AI17" s="106">
        <f t="shared" si="7"/>
        <v>0</v>
      </c>
      <c r="AJ17" s="106">
        <f t="shared" si="7"/>
        <v>-1</v>
      </c>
      <c r="AK17" s="106">
        <f t="shared" si="7"/>
        <v>0</v>
      </c>
      <c r="AL17" s="106">
        <f t="shared" si="7"/>
        <v>0</v>
      </c>
      <c r="AM17" s="106">
        <f t="shared" si="7"/>
        <v>0</v>
      </c>
      <c r="AN17" s="106">
        <f t="shared" si="7"/>
        <v>0</v>
      </c>
      <c r="AO17" s="106">
        <f t="shared" si="7"/>
        <v>0</v>
      </c>
      <c r="AP17" s="106">
        <f t="shared" si="7"/>
        <v>0</v>
      </c>
      <c r="AQ17" s="106">
        <f t="shared" si="7"/>
        <v>-1</v>
      </c>
      <c r="AR17" s="106">
        <f t="shared" si="7"/>
        <v>-1</v>
      </c>
      <c r="AS17" s="106">
        <f t="shared" si="7"/>
        <v>-1</v>
      </c>
      <c r="AT17" s="106">
        <f t="shared" si="7"/>
        <v>-1</v>
      </c>
      <c r="AU17" s="106">
        <f t="shared" si="7"/>
        <v>0</v>
      </c>
      <c r="AV17" s="106">
        <f t="shared" si="7"/>
        <v>-1</v>
      </c>
      <c r="AW17" s="106">
        <f t="shared" si="7"/>
        <v>-1</v>
      </c>
      <c r="AX17" s="106">
        <f t="shared" si="7"/>
        <v>-1</v>
      </c>
      <c r="AY17" s="106">
        <f t="shared" si="7"/>
        <v>-1</v>
      </c>
      <c r="AZ17" s="106">
        <f t="shared" si="7"/>
        <v>-1</v>
      </c>
      <c r="BA17" s="106">
        <f t="shared" si="7"/>
        <v>-1</v>
      </c>
      <c r="BB17" s="106">
        <f t="shared" si="7"/>
        <v>-1</v>
      </c>
      <c r="BC17" s="106">
        <f t="shared" si="7"/>
        <v>-1</v>
      </c>
      <c r="BD17" s="106">
        <f t="shared" si="7"/>
        <v>-1</v>
      </c>
      <c r="BE17" s="106">
        <f t="shared" si="7"/>
        <v>-1</v>
      </c>
      <c r="BF17" s="106">
        <f t="shared" si="7"/>
        <v>-1</v>
      </c>
      <c r="BG17" s="106">
        <f t="shared" si="7"/>
        <v>-1</v>
      </c>
      <c r="BH17" s="106">
        <f t="shared" si="7"/>
        <v>-1</v>
      </c>
      <c r="BI17" s="106">
        <f t="shared" si="7"/>
        <v>-1</v>
      </c>
      <c r="BJ17" s="106">
        <f t="shared" si="7"/>
        <v>-1</v>
      </c>
      <c r="BK17" s="106">
        <f t="shared" si="7"/>
        <v>-1</v>
      </c>
      <c r="BL17" s="106">
        <f t="shared" si="7"/>
        <v>-1</v>
      </c>
      <c r="BM17" s="106">
        <f t="shared" si="7"/>
        <v>-1</v>
      </c>
      <c r="BN17" s="106">
        <f t="shared" si="7"/>
        <v>-1</v>
      </c>
      <c r="BO17" s="106">
        <f t="shared" si="7"/>
        <v>-1</v>
      </c>
      <c r="BP17" s="106">
        <f t="shared" si="7"/>
        <v>-1</v>
      </c>
      <c r="BQ17" s="106">
        <f t="shared" si="7"/>
        <v>-1</v>
      </c>
      <c r="BR17" s="106">
        <f t="shared" si="7"/>
        <v>-1</v>
      </c>
      <c r="BS17" s="106">
        <f t="shared" si="7"/>
        <v>-1</v>
      </c>
      <c r="BT17" s="106">
        <f t="shared" si="7"/>
        <v>-1</v>
      </c>
      <c r="BU17" s="106">
        <f t="shared" si="7"/>
        <v>0</v>
      </c>
      <c r="BV17" s="106">
        <f t="shared" si="7"/>
        <v>0</v>
      </c>
      <c r="BW17" s="106">
        <f t="shared" si="7"/>
        <v>0</v>
      </c>
      <c r="BX17" s="106">
        <f t="shared" si="7"/>
        <v>0</v>
      </c>
      <c r="BY17" s="106">
        <f t="shared" si="7"/>
        <v>0</v>
      </c>
      <c r="BZ17" s="106">
        <f t="shared" si="7"/>
        <v>-1</v>
      </c>
      <c r="CA17" s="106">
        <f t="shared" si="7"/>
        <v>0</v>
      </c>
      <c r="CB17" s="106">
        <f t="shared" si="7"/>
        <v>0</v>
      </c>
      <c r="CC17" s="106">
        <f t="shared" ref="CC17:CE17" si="8">CC16-CC15</f>
        <v>0</v>
      </c>
      <c r="CD17" s="106">
        <f t="shared" si="8"/>
        <v>0</v>
      </c>
      <c r="CE17" s="106">
        <f t="shared" si="8"/>
        <v>0</v>
      </c>
      <c r="CF17" s="839"/>
      <c r="CG17" s="107"/>
      <c r="CH17" s="107"/>
      <c r="CI17" s="107"/>
      <c r="CJ17" s="107"/>
      <c r="CK17" s="839"/>
      <c r="CL17" s="107"/>
      <c r="CM17" s="108"/>
      <c r="CN17" s="108"/>
      <c r="CO17" s="108"/>
      <c r="CP17" s="108"/>
      <c r="CQ17" s="246"/>
    </row>
    <row r="18" spans="1:95">
      <c r="B18" s="110" t="s">
        <v>68</v>
      </c>
      <c r="C18" s="110"/>
      <c r="D18" s="111"/>
      <c r="E18" s="111"/>
      <c r="F18" s="111"/>
      <c r="G18" s="111"/>
      <c r="H18" s="111"/>
      <c r="I18" s="111"/>
    </row>
    <row r="21" spans="1:95">
      <c r="B21" s="286"/>
    </row>
    <row r="22" spans="1:95">
      <c r="B22" s="286"/>
    </row>
    <row r="23" spans="1:95">
      <c r="B23" s="286"/>
    </row>
    <row r="24" spans="1:95">
      <c r="B24" s="286"/>
    </row>
  </sheetData>
  <autoFilter xmlns:etc="http://www.wps.cn/officeDocument/2017/etCustomData" ref="A3:CR12" etc:filterBottomFollowUsedRange="0">
    <filterColumn colId="93">
      <filters blank="1"/>
    </filterColumn>
    <extLst/>
  </autoFilter>
  <mergeCells count="31">
    <mergeCell ref="A1:K1"/>
    <mergeCell ref="CN1:CO1"/>
    <mergeCell ref="CP1:CQ1"/>
    <mergeCell ref="L2:CA2"/>
    <mergeCell ref="CB2:CE2"/>
    <mergeCell ref="A15:I15"/>
    <mergeCell ref="A16:I16"/>
    <mergeCell ref="A17:I1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</mergeCells>
  <conditionalFormatting sqref="L17:CE17">
    <cfRule type="cellIs" dxfId="0" priority="1" operator="lessThan">
      <formula>0</formula>
    </cfRule>
  </conditionalFormatting>
  <printOptions horizontalCentered="1"/>
  <pageMargins left="0" right="0" top="0.432638888888889" bottom="0.15625" header="0.313888888888889" footer="0.313888888888889"/>
  <pageSetup paperSize="9" scale="21" orientation="landscape"/>
  <headerFooter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5"/>
  <sheetViews>
    <sheetView workbookViewId="0">
      <pane xSplit="10" ySplit="4" topLeftCell="K5" activePane="bottomRight" state="frozen"/>
      <selection/>
      <selection pane="topRight"/>
      <selection pane="bottomLeft"/>
      <selection pane="bottomRight" activeCell="H8" sqref="H8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4" width="13.5" customWidth="1"/>
    <col min="5" max="8" width="6.5" customWidth="1"/>
    <col min="9" max="9" width="8.125" customWidth="1"/>
    <col min="10" max="10" width="5.125" customWidth="1"/>
    <col min="11" max="22" width="5.5" customWidth="1"/>
    <col min="23" max="23" width="7.875" customWidth="1"/>
    <col min="24" max="24" width="5.375" customWidth="1"/>
    <col min="25" max="26" width="5.125" customWidth="1"/>
    <col min="27" max="27" width="6.125" customWidth="1"/>
    <col min="28" max="28" width="7.625" customWidth="1"/>
    <col min="29" max="29" width="21.125" customWidth="1"/>
    <col min="30" max="30" width="7.875" customWidth="1"/>
    <col min="31" max="31" width="8.5" customWidth="1"/>
    <col min="32" max="32" width="6.375" customWidth="1"/>
    <col min="33" max="33" width="6.625" customWidth="1"/>
    <col min="34" max="34" width="19.125" customWidth="1"/>
    <col min="35" max="35" width="19" customWidth="1"/>
  </cols>
  <sheetData>
    <row r="1" ht="36.75" customHeight="1" spans="1:35">
      <c r="A1" s="298" t="s">
        <v>1906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197" t="s">
        <v>1</v>
      </c>
      <c r="AE1" s="198"/>
      <c r="AF1" s="199"/>
      <c r="AG1" s="200">
        <f ca="1">TODAY()</f>
        <v>46277</v>
      </c>
      <c r="AH1" s="201"/>
    </row>
    <row r="2" s="190" customFormat="1" ht="18.75" customHeight="1" spans="1:35">
      <c r="A2" s="14" t="s">
        <v>2</v>
      </c>
      <c r="B2" s="15" t="s">
        <v>3</v>
      </c>
      <c r="C2" s="15" t="s">
        <v>4</v>
      </c>
      <c r="D2" s="15" t="s">
        <v>5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87" t="s">
        <v>13</v>
      </c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9"/>
      <c r="W2" s="19" t="s">
        <v>14</v>
      </c>
      <c r="X2" s="21" t="s">
        <v>995</v>
      </c>
      <c r="Y2" s="21" t="s">
        <v>1907</v>
      </c>
      <c r="Z2" s="22" t="s">
        <v>178</v>
      </c>
      <c r="AA2" s="21" t="s">
        <v>19</v>
      </c>
      <c r="AB2" s="22" t="s">
        <v>20</v>
      </c>
      <c r="AC2" s="24" t="s">
        <v>21</v>
      </c>
      <c r="AD2" s="19" t="s">
        <v>22</v>
      </c>
      <c r="AE2" s="204" t="s">
        <v>23</v>
      </c>
      <c r="AF2" s="204" t="s">
        <v>24</v>
      </c>
      <c r="AG2" s="204" t="s">
        <v>25</v>
      </c>
      <c r="AH2" s="27" t="s">
        <v>26</v>
      </c>
    </row>
    <row r="3" s="190" customFormat="1" ht="16.5" customHeight="1" spans="1:35">
      <c r="A3" s="14"/>
      <c r="B3" s="15"/>
      <c r="C3" s="15"/>
      <c r="D3" s="15"/>
      <c r="E3" s="15"/>
      <c r="F3" s="15"/>
      <c r="G3" s="15"/>
      <c r="H3" s="15"/>
      <c r="I3" s="15"/>
      <c r="J3" s="15"/>
      <c r="K3" s="810" t="s">
        <v>1908</v>
      </c>
      <c r="L3" s="811"/>
      <c r="M3" s="812"/>
      <c r="N3" s="810" t="s">
        <v>1909</v>
      </c>
      <c r="O3" s="811"/>
      <c r="P3" s="812"/>
      <c r="Q3" s="187" t="s">
        <v>1910</v>
      </c>
      <c r="R3" s="188"/>
      <c r="S3" s="188"/>
      <c r="T3" s="187" t="s">
        <v>1911</v>
      </c>
      <c r="U3" s="188"/>
      <c r="V3" s="189"/>
      <c r="W3" s="19"/>
      <c r="X3" s="21"/>
      <c r="Y3" s="21"/>
      <c r="Z3" s="769"/>
      <c r="AA3" s="21"/>
      <c r="AB3" s="769"/>
      <c r="AC3" s="24"/>
      <c r="AD3" s="19"/>
      <c r="AE3" s="204"/>
      <c r="AF3" s="204"/>
      <c r="AG3" s="204"/>
      <c r="AH3" s="27"/>
    </row>
    <row r="4" s="190" customFormat="1" ht="24.95" customHeight="1" spans="1:35">
      <c r="A4" s="14"/>
      <c r="B4" s="15"/>
      <c r="C4" s="15"/>
      <c r="D4" s="15"/>
      <c r="E4" s="15"/>
      <c r="F4" s="15"/>
      <c r="G4" s="15"/>
      <c r="H4" s="15"/>
      <c r="I4" s="15"/>
      <c r="J4" s="15"/>
      <c r="K4" s="813" t="s">
        <v>1562</v>
      </c>
      <c r="L4" s="814" t="s">
        <v>1912</v>
      </c>
      <c r="M4" s="814" t="s">
        <v>1913</v>
      </c>
      <c r="N4" s="813" t="s">
        <v>1914</v>
      </c>
      <c r="O4" s="814" t="s">
        <v>1915</v>
      </c>
      <c r="P4" s="814" t="s">
        <v>1916</v>
      </c>
      <c r="Q4" s="813" t="s">
        <v>1568</v>
      </c>
      <c r="R4" s="814" t="s">
        <v>1569</v>
      </c>
      <c r="S4" s="630" t="s">
        <v>1570</v>
      </c>
      <c r="T4" s="655" t="s">
        <v>1571</v>
      </c>
      <c r="U4" s="814" t="s">
        <v>1572</v>
      </c>
      <c r="V4" s="814" t="s">
        <v>1573</v>
      </c>
      <c r="W4" s="19"/>
      <c r="X4" s="21"/>
      <c r="Y4" s="21"/>
      <c r="Z4" s="32"/>
      <c r="AA4" s="21"/>
      <c r="AB4" s="32"/>
      <c r="AC4" s="24"/>
      <c r="AD4" s="19"/>
      <c r="AE4" s="204"/>
      <c r="AF4" s="204"/>
      <c r="AG4" s="204"/>
      <c r="AH4" s="27"/>
    </row>
    <row r="5" s="3" customFormat="1" ht="27" customHeight="1" spans="1:35">
      <c r="A5" s="215">
        <v>1</v>
      </c>
      <c r="B5" s="269" t="s">
        <v>1917</v>
      </c>
      <c r="C5" s="270" t="s">
        <v>271</v>
      </c>
      <c r="D5" s="270" t="s">
        <v>1918</v>
      </c>
      <c r="E5" s="274">
        <v>46168</v>
      </c>
      <c r="F5" s="273">
        <v>46269</v>
      </c>
      <c r="G5" s="273"/>
      <c r="H5" s="274"/>
      <c r="I5" s="276">
        <f>SUM(Q5:V5)</f>
        <v>9000</v>
      </c>
      <c r="J5" s="95">
        <v>24</v>
      </c>
      <c r="K5" s="277"/>
      <c r="L5" s="277"/>
      <c r="M5" s="277"/>
      <c r="N5" s="277"/>
      <c r="O5" s="277"/>
      <c r="P5" s="277"/>
      <c r="Q5" s="277">
        <v>1500</v>
      </c>
      <c r="R5" s="277">
        <v>1500</v>
      </c>
      <c r="S5" s="277">
        <v>1500</v>
      </c>
      <c r="T5" s="277">
        <v>1500</v>
      </c>
      <c r="U5" s="277">
        <v>1500</v>
      </c>
      <c r="V5" s="277">
        <v>1500</v>
      </c>
      <c r="W5" s="219"/>
      <c r="X5" s="96" t="s">
        <v>81</v>
      </c>
      <c r="Y5" s="183"/>
      <c r="Z5" s="183"/>
      <c r="AA5" s="297"/>
      <c r="AB5" s="96"/>
      <c r="AC5" s="183" t="s">
        <v>1919</v>
      </c>
      <c r="AD5" s="493"/>
      <c r="AE5" s="815"/>
      <c r="AF5" s="222"/>
      <c r="AG5" s="97"/>
      <c r="AH5" s="178">
        <v>60299618</v>
      </c>
      <c r="AI5" s="816" t="s">
        <v>1920</v>
      </c>
    </row>
    <row r="6" s="3" customFormat="1" ht="27" customHeight="1" spans="1:35">
      <c r="A6" s="215">
        <v>2</v>
      </c>
      <c r="B6" s="269" t="s">
        <v>1917</v>
      </c>
      <c r="C6" s="270" t="s">
        <v>271</v>
      </c>
      <c r="D6" s="270" t="s">
        <v>1918</v>
      </c>
      <c r="E6" s="274">
        <v>46168</v>
      </c>
      <c r="F6" s="273">
        <v>46269</v>
      </c>
      <c r="G6" s="273"/>
      <c r="H6" s="274"/>
      <c r="I6" s="276">
        <f>SUM(Q6:V6)</f>
        <v>9000</v>
      </c>
      <c r="J6" s="95">
        <v>24</v>
      </c>
      <c r="K6" s="277"/>
      <c r="L6" s="277"/>
      <c r="M6" s="277"/>
      <c r="N6" s="277"/>
      <c r="O6" s="277"/>
      <c r="P6" s="277"/>
      <c r="Q6" s="277">
        <v>1500</v>
      </c>
      <c r="R6" s="277">
        <v>1500</v>
      </c>
      <c r="S6" s="277">
        <v>1500</v>
      </c>
      <c r="T6" s="277">
        <v>1500</v>
      </c>
      <c r="U6" s="277">
        <v>1500</v>
      </c>
      <c r="V6" s="277">
        <v>1500</v>
      </c>
      <c r="W6" s="219"/>
      <c r="X6" s="96" t="s">
        <v>81</v>
      </c>
      <c r="Y6" s="183"/>
      <c r="Z6" s="183"/>
      <c r="AA6" s="297"/>
      <c r="AB6" s="96"/>
      <c r="AC6" s="183" t="s">
        <v>1919</v>
      </c>
      <c r="AD6" s="493"/>
      <c r="AE6" s="815"/>
      <c r="AF6" s="222"/>
      <c r="AG6" s="97"/>
      <c r="AH6" s="178">
        <v>60299701</v>
      </c>
      <c r="AI6" s="816" t="s">
        <v>1920</v>
      </c>
    </row>
    <row r="7" s="3" customFormat="1" ht="27" customHeight="1" spans="1:35">
      <c r="A7" s="215">
        <v>3</v>
      </c>
      <c r="B7" s="183"/>
      <c r="C7" s="96"/>
      <c r="D7" s="293"/>
      <c r="E7" s="217"/>
      <c r="F7" s="217"/>
      <c r="G7" s="217"/>
      <c r="H7" s="218"/>
      <c r="I7" s="95"/>
      <c r="J7" s="95"/>
      <c r="K7" s="277"/>
      <c r="L7" s="277"/>
      <c r="M7" s="277"/>
      <c r="N7" s="277"/>
      <c r="O7" s="277"/>
      <c r="P7" s="277"/>
      <c r="Q7" s="277"/>
      <c r="R7" s="277"/>
      <c r="S7" s="277"/>
      <c r="T7" s="277"/>
      <c r="U7" s="277"/>
      <c r="V7" s="277"/>
      <c r="W7" s="219"/>
      <c r="X7" s="96"/>
      <c r="Y7" s="183"/>
      <c r="Z7" s="183"/>
      <c r="AA7" s="297"/>
      <c r="AB7" s="96"/>
      <c r="AC7" s="183"/>
      <c r="AD7" s="493"/>
      <c r="AE7" s="815"/>
      <c r="AF7" s="222"/>
      <c r="AG7" s="97"/>
      <c r="AH7" s="178"/>
    </row>
    <row r="8" s="3" customFormat="1" ht="27" customHeight="1" spans="1:35">
      <c r="A8" s="215">
        <v>4</v>
      </c>
      <c r="B8" s="183"/>
      <c r="C8" s="96"/>
      <c r="D8" s="216"/>
      <c r="E8" s="217"/>
      <c r="F8" s="217"/>
      <c r="G8" s="217"/>
      <c r="H8" s="218"/>
      <c r="I8" s="95"/>
      <c r="J8" s="95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492"/>
      <c r="X8" s="96"/>
      <c r="Y8" s="183"/>
      <c r="Z8" s="183"/>
      <c r="AA8" s="297"/>
      <c r="AB8" s="183"/>
      <c r="AC8" s="183"/>
      <c r="AD8" s="493"/>
      <c r="AE8" s="222"/>
      <c r="AF8" s="222"/>
      <c r="AG8" s="97"/>
      <c r="AH8" s="178"/>
    </row>
    <row r="9" s="3" customFormat="1" ht="27" customHeight="1" spans="1:35">
      <c r="A9" s="215">
        <v>5</v>
      </c>
      <c r="B9" s="183"/>
      <c r="C9" s="96"/>
      <c r="D9" s="216"/>
      <c r="E9" s="217"/>
      <c r="F9" s="217"/>
      <c r="G9" s="217"/>
      <c r="H9" s="218"/>
      <c r="I9" s="95"/>
      <c r="J9" s="95"/>
      <c r="K9" s="277"/>
      <c r="L9" s="277"/>
      <c r="M9" s="277"/>
      <c r="N9" s="277"/>
      <c r="O9" s="277"/>
      <c r="P9" s="277"/>
      <c r="Q9" s="277"/>
      <c r="R9" s="277"/>
      <c r="S9" s="277"/>
      <c r="T9" s="277"/>
      <c r="U9" s="277"/>
      <c r="V9" s="277"/>
      <c r="W9" s="492"/>
      <c r="X9" s="96"/>
      <c r="Y9" s="97"/>
      <c r="Z9" s="97"/>
      <c r="AA9" s="297"/>
      <c r="AB9" s="297"/>
      <c r="AC9" s="183"/>
      <c r="AD9" s="493"/>
      <c r="AE9" s="222"/>
      <c r="AF9" s="222"/>
      <c r="AG9" s="97"/>
      <c r="AH9" s="178"/>
    </row>
    <row r="10" s="3" customFormat="1" ht="27" customHeight="1" spans="1:35">
      <c r="A10" s="215">
        <v>6</v>
      </c>
      <c r="B10" s="183"/>
      <c r="C10" s="96"/>
      <c r="D10" s="216"/>
      <c r="E10" s="217"/>
      <c r="F10" s="217"/>
      <c r="G10" s="217"/>
      <c r="H10" s="218"/>
      <c r="I10" s="95"/>
      <c r="J10" s="95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19"/>
      <c r="X10" s="96"/>
      <c r="Y10" s="97"/>
      <c r="Z10" s="97"/>
      <c r="AA10" s="96"/>
      <c r="AB10" s="96"/>
      <c r="AC10" s="183"/>
      <c r="AD10" s="493"/>
      <c r="AE10" s="222"/>
      <c r="AF10" s="222"/>
      <c r="AG10" s="97"/>
      <c r="AH10" s="178"/>
    </row>
    <row r="11" s="3" customFormat="1" ht="27" customHeight="1" spans="1:35">
      <c r="A11" s="215"/>
      <c r="B11" s="183"/>
      <c r="C11" s="96"/>
      <c r="D11" s="216"/>
      <c r="E11" s="217"/>
      <c r="F11" s="217"/>
      <c r="G11" s="217"/>
      <c r="H11" s="218"/>
      <c r="I11" s="95"/>
      <c r="J11" s="95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19"/>
      <c r="X11" s="96"/>
      <c r="Y11" s="279"/>
      <c r="Z11" s="279"/>
      <c r="AA11" s="183"/>
      <c r="AB11" s="183"/>
      <c r="AC11" s="183"/>
      <c r="AD11" s="97"/>
      <c r="AE11" s="222"/>
      <c r="AF11" s="97"/>
      <c r="AG11" s="97"/>
      <c r="AH11" s="178"/>
    </row>
    <row r="12" s="3" customFormat="1" ht="17.1" customHeight="1" spans="1:35">
      <c r="A12" s="93" t="s">
        <v>66</v>
      </c>
      <c r="B12" s="94"/>
      <c r="C12" s="94"/>
      <c r="D12" s="94"/>
      <c r="E12" s="94"/>
      <c r="F12" s="94"/>
      <c r="G12" s="94"/>
      <c r="H12" s="94"/>
      <c r="I12" s="95">
        <f>SUM(I5:I11)</f>
        <v>18000</v>
      </c>
      <c r="J12" s="95"/>
      <c r="K12" s="95"/>
      <c r="L12" s="95"/>
      <c r="M12" s="95"/>
      <c r="N12" s="95"/>
      <c r="O12" s="95"/>
      <c r="P12" s="95"/>
      <c r="Q12" s="95">
        <f t="shared" ref="Q12:V12" si="0">SUM(Q5:Q11)</f>
        <v>3000</v>
      </c>
      <c r="R12" s="95">
        <f t="shared" si="0"/>
        <v>3000</v>
      </c>
      <c r="S12" s="95">
        <f t="shared" si="0"/>
        <v>3000</v>
      </c>
      <c r="T12" s="95">
        <f t="shared" si="0"/>
        <v>3000</v>
      </c>
      <c r="U12" s="95">
        <f t="shared" si="0"/>
        <v>3000</v>
      </c>
      <c r="V12" s="95">
        <f t="shared" si="0"/>
        <v>3000</v>
      </c>
      <c r="W12" s="95"/>
      <c r="X12" s="96"/>
      <c r="Y12" s="96"/>
      <c r="Z12" s="96"/>
      <c r="AA12" s="96"/>
      <c r="AB12" s="96"/>
      <c r="AC12" s="96"/>
      <c r="AD12" s="97"/>
      <c r="AE12" s="97"/>
      <c r="AF12" s="97"/>
      <c r="AG12" s="97"/>
      <c r="AH12" s="98"/>
    </row>
    <row r="13" s="4" customFormat="1" ht="17.1" customHeight="1" spans="1:35">
      <c r="A13" s="99"/>
      <c r="B13" s="100"/>
      <c r="C13" s="100"/>
      <c r="D13" s="100"/>
      <c r="E13" s="100"/>
      <c r="F13" s="100"/>
      <c r="G13" s="100"/>
      <c r="H13" s="100"/>
      <c r="I13" s="133"/>
      <c r="J13" s="100"/>
      <c r="K13" s="100"/>
      <c r="L13" s="100"/>
      <c r="M13" s="100"/>
      <c r="N13" s="100"/>
      <c r="O13" s="100"/>
      <c r="P13" s="100"/>
      <c r="Q13" s="147"/>
      <c r="R13" s="147"/>
      <c r="S13" s="147"/>
      <c r="T13" s="147"/>
      <c r="U13" s="147"/>
      <c r="V13" s="147"/>
      <c r="W13" s="147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2"/>
    </row>
    <row r="14" s="4" customFormat="1" ht="19.5" customHeight="1" spans="1:35">
      <c r="A14" s="241" t="s">
        <v>67</v>
      </c>
      <c r="B14" s="242"/>
      <c r="C14" s="242"/>
      <c r="D14" s="242"/>
      <c r="E14" s="242"/>
      <c r="F14" s="242"/>
      <c r="G14" s="242"/>
      <c r="H14" s="243"/>
      <c r="I14" s="244">
        <f>SUM(Q14:V14)</f>
        <v>-18000</v>
      </c>
      <c r="J14" s="245"/>
      <c r="K14" s="245"/>
      <c r="L14" s="245"/>
      <c r="M14" s="245"/>
      <c r="N14" s="245"/>
      <c r="O14" s="245"/>
      <c r="P14" s="245"/>
      <c r="Q14" s="106">
        <f t="shared" ref="Q14:V14" si="1">Q13-Q12</f>
        <v>-3000</v>
      </c>
      <c r="R14" s="106">
        <f t="shared" si="1"/>
        <v>-3000</v>
      </c>
      <c r="S14" s="106">
        <f t="shared" si="1"/>
        <v>-3000</v>
      </c>
      <c r="T14" s="106">
        <f t="shared" si="1"/>
        <v>-3000</v>
      </c>
      <c r="U14" s="106">
        <f t="shared" si="1"/>
        <v>-3000</v>
      </c>
      <c r="V14" s="106">
        <f t="shared" si="1"/>
        <v>-3000</v>
      </c>
      <c r="W14" s="106"/>
      <c r="X14" s="106"/>
      <c r="Y14" s="106"/>
      <c r="Z14" s="106"/>
      <c r="AA14" s="106"/>
      <c r="AB14" s="106"/>
      <c r="AC14" s="106"/>
      <c r="AD14" s="107"/>
      <c r="AE14" s="107"/>
      <c r="AF14" s="107"/>
      <c r="AG14" s="107"/>
      <c r="AH14" s="109"/>
    </row>
    <row r="15" spans="1:35">
      <c r="B15" s="110" t="s">
        <v>68</v>
      </c>
      <c r="C15" s="110"/>
      <c r="D15" s="111"/>
      <c r="E15" s="111"/>
      <c r="F15" s="111"/>
      <c r="G15" s="111"/>
      <c r="H15" s="111"/>
    </row>
  </sheetData>
  <autoFilter xmlns:etc="http://www.wps.cn/officeDocument/2017/etCustomData" ref="A4:AI10" etc:filterBottomFollowUsedRange="0">
    <extLst/>
  </autoFilter>
  <mergeCells count="33">
    <mergeCell ref="A1:AC1"/>
    <mergeCell ref="AD1:AF1"/>
    <mergeCell ref="AG1:AH1"/>
    <mergeCell ref="K2:V2"/>
    <mergeCell ref="K3:M3"/>
    <mergeCell ref="N3:P3"/>
    <mergeCell ref="Q3:S3"/>
    <mergeCell ref="T3:V3"/>
    <mergeCell ref="A12:H12"/>
    <mergeCell ref="A13:H13"/>
    <mergeCell ref="A14:H1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</mergeCells>
  <conditionalFormatting sqref="Q14:V14">
    <cfRule type="cellIs" dxfId="0" priority="1" operator="lessThan">
      <formula>0</formula>
    </cfRule>
  </conditionalFormatting>
  <pageMargins left="0.75" right="0.75" top="1" bottom="1" header="0.5" footer="0.5"/>
  <pageSetup paperSize="9" scale="49" orientation="landscape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AW22"/>
  <sheetViews>
    <sheetView workbookViewId="0">
      <pane xSplit="11" ySplit="3" topLeftCell="AE4" activePane="bottomRight" state="frozen"/>
      <selection/>
      <selection pane="topRight"/>
      <selection pane="bottomLeft"/>
      <selection pane="bottomRight" activeCell="AI10" sqref="AI10"/>
    </sheetView>
  </sheetViews>
  <sheetFormatPr defaultColWidth="9" defaultRowHeight="14.25"/>
  <cols>
    <col min="1" max="1" width="3.125" customWidth="1"/>
    <col min="2" max="2" width="7.875" customWidth="1"/>
    <col min="3" max="3" width="6.125" customWidth="1"/>
    <col min="4" max="4" width="13.625" customWidth="1"/>
    <col min="5" max="5" width="10.375" customWidth="1"/>
    <col min="6" max="7" width="6.625" customWidth="1"/>
    <col min="8" max="8" width="5.375" customWidth="1"/>
    <col min="9" max="9" width="5.5" customWidth="1"/>
    <col min="10" max="10" width="7.125" customWidth="1"/>
    <col min="11" max="11" width="5.125" customWidth="1"/>
    <col min="12" max="18" width="5.625" customWidth="1"/>
    <col min="19" max="19" width="6.125" customWidth="1"/>
    <col min="20" max="35" width="5.625" customWidth="1"/>
    <col min="36" max="36" width="7.375" customWidth="1"/>
    <col min="37" max="39" width="4.625" customWidth="1"/>
    <col min="40" max="40" width="5.625" customWidth="1"/>
    <col min="41" max="41" width="8" customWidth="1"/>
    <col min="42" max="42" width="20.25" customWidth="1"/>
    <col min="43" max="43" width="8" style="114" customWidth="1"/>
    <col min="44" max="44" width="12.375" style="113" customWidth="1"/>
    <col min="45" max="45" width="7.125" style="113" customWidth="1"/>
    <col min="46" max="46" width="7.625" style="113" customWidth="1"/>
    <col min="47" max="47" width="18.625" style="194" customWidth="1"/>
    <col min="48" max="48" width="17.125" style="255" customWidth="1"/>
  </cols>
  <sheetData>
    <row r="1" ht="35.1" customHeight="1" spans="1:49">
      <c r="A1" s="256" t="s">
        <v>1921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8"/>
      <c r="AQ1" s="259" t="s">
        <v>1</v>
      </c>
      <c r="AR1" s="312"/>
      <c r="AS1" s="260"/>
      <c r="AT1" s="200">
        <f ca="1">TODAY()</f>
        <v>46277</v>
      </c>
      <c r="AU1" s="201"/>
    </row>
    <row r="2" s="190" customFormat="1" ht="21.95" customHeight="1" spans="1:49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7" t="s">
        <v>13</v>
      </c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20" t="s">
        <v>14</v>
      </c>
      <c r="AK2" s="22" t="s">
        <v>74</v>
      </c>
      <c r="AL2" s="22" t="s">
        <v>1922</v>
      </c>
      <c r="AM2" s="22" t="s">
        <v>1613</v>
      </c>
      <c r="AN2" s="22" t="s">
        <v>19</v>
      </c>
      <c r="AO2" s="22" t="s">
        <v>20</v>
      </c>
      <c r="AP2" s="261" t="s">
        <v>21</v>
      </c>
      <c r="AQ2" s="25" t="s">
        <v>22</v>
      </c>
      <c r="AR2" s="26" t="s">
        <v>23</v>
      </c>
      <c r="AS2" s="26" t="s">
        <v>24</v>
      </c>
      <c r="AT2" s="26" t="s">
        <v>25</v>
      </c>
      <c r="AU2" s="205" t="s">
        <v>26</v>
      </c>
      <c r="AV2" s="159"/>
    </row>
    <row r="3" s="190" customFormat="1" ht="36.75" customHeight="1" spans="1:49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4" t="s">
        <v>27</v>
      </c>
      <c r="M3" s="264" t="s">
        <v>31</v>
      </c>
      <c r="N3" s="264" t="s">
        <v>39</v>
      </c>
      <c r="O3" s="264" t="s">
        <v>40</v>
      </c>
      <c r="P3" s="264" t="s">
        <v>32</v>
      </c>
      <c r="Q3" s="292" t="s">
        <v>1923</v>
      </c>
      <c r="R3" s="264" t="s">
        <v>1924</v>
      </c>
      <c r="S3" s="292" t="s">
        <v>44</v>
      </c>
      <c r="T3" s="264" t="s">
        <v>1925</v>
      </c>
      <c r="U3" s="264" t="s">
        <v>36</v>
      </c>
      <c r="V3" s="264" t="s">
        <v>43</v>
      </c>
      <c r="W3" s="264" t="s">
        <v>1926</v>
      </c>
      <c r="X3" s="264" t="s">
        <v>37</v>
      </c>
      <c r="Y3" s="264" t="s">
        <v>38</v>
      </c>
      <c r="Z3" s="264" t="s">
        <v>45</v>
      </c>
      <c r="AA3" s="264" t="s">
        <v>30</v>
      </c>
      <c r="AB3" s="264" t="s">
        <v>33</v>
      </c>
      <c r="AC3" s="264" t="s">
        <v>34</v>
      </c>
      <c r="AD3" s="264" t="s">
        <v>1927</v>
      </c>
      <c r="AE3" s="264" t="s">
        <v>1928</v>
      </c>
      <c r="AF3" s="264" t="s">
        <v>1929</v>
      </c>
      <c r="AG3" s="264" t="s">
        <v>29</v>
      </c>
      <c r="AH3" s="264" t="s">
        <v>1930</v>
      </c>
      <c r="AI3" s="292" t="s">
        <v>1829</v>
      </c>
      <c r="AJ3" s="31"/>
      <c r="AK3" s="32"/>
      <c r="AL3" s="32"/>
      <c r="AM3" s="32"/>
      <c r="AN3" s="32"/>
      <c r="AO3" s="32"/>
      <c r="AP3" s="267"/>
      <c r="AQ3" s="25"/>
      <c r="AR3" s="26"/>
      <c r="AS3" s="26"/>
      <c r="AT3" s="26"/>
      <c r="AU3" s="205"/>
      <c r="AV3" s="159"/>
    </row>
    <row r="4" s="311" customFormat="1" ht="32.45" hidden="1" customHeight="1" spans="1:49">
      <c r="A4" s="208">
        <f>ROW()-3</f>
        <v>1</v>
      </c>
      <c r="B4" s="48" t="s">
        <v>1931</v>
      </c>
      <c r="C4" s="49" t="s">
        <v>1932</v>
      </c>
      <c r="D4" s="50" t="s">
        <v>1933</v>
      </c>
      <c r="E4" s="50" t="s">
        <v>1934</v>
      </c>
      <c r="F4" s="52">
        <v>46099</v>
      </c>
      <c r="G4" s="52">
        <v>46175</v>
      </c>
      <c r="H4" s="52">
        <v>46175</v>
      </c>
      <c r="I4" s="53">
        <v>46121</v>
      </c>
      <c r="J4" s="774">
        <f>SUM(L4:AI4)</f>
        <v>34560</v>
      </c>
      <c r="K4" s="175">
        <v>96</v>
      </c>
      <c r="L4" s="175">
        <v>1440</v>
      </c>
      <c r="M4" s="175">
        <v>1440</v>
      </c>
      <c r="N4" s="175">
        <v>1440</v>
      </c>
      <c r="O4" s="175">
        <v>1440</v>
      </c>
      <c r="P4" s="175">
        <v>1440</v>
      </c>
      <c r="Q4" s="175">
        <v>1440</v>
      </c>
      <c r="R4" s="175">
        <v>1440</v>
      </c>
      <c r="S4" s="175">
        <v>1440</v>
      </c>
      <c r="T4" s="175">
        <v>1440</v>
      </c>
      <c r="U4" s="175">
        <v>1440</v>
      </c>
      <c r="V4" s="175">
        <v>1440</v>
      </c>
      <c r="W4" s="175">
        <v>1440</v>
      </c>
      <c r="X4" s="175">
        <v>1440</v>
      </c>
      <c r="Y4" s="175">
        <v>1440</v>
      </c>
      <c r="Z4" s="175">
        <v>1440</v>
      </c>
      <c r="AA4" s="175">
        <v>1440</v>
      </c>
      <c r="AB4" s="175">
        <v>1440</v>
      </c>
      <c r="AC4" s="175">
        <v>1440</v>
      </c>
      <c r="AD4" s="175">
        <v>1440</v>
      </c>
      <c r="AE4" s="175">
        <v>1440</v>
      </c>
      <c r="AF4" s="175">
        <v>1440</v>
      </c>
      <c r="AG4" s="175">
        <v>1440</v>
      </c>
      <c r="AH4" s="175">
        <v>1440</v>
      </c>
      <c r="AI4" s="175">
        <v>1440</v>
      </c>
      <c r="AJ4" s="316" t="s">
        <v>1935</v>
      </c>
      <c r="AK4" s="49" t="s">
        <v>104</v>
      </c>
      <c r="AL4" s="48" t="s">
        <v>1744</v>
      </c>
      <c r="AM4" s="48" t="s">
        <v>1744</v>
      </c>
      <c r="AN4" s="48" t="s">
        <v>1072</v>
      </c>
      <c r="AO4" s="316" t="s">
        <v>1935</v>
      </c>
      <c r="AP4" s="48" t="s">
        <v>1936</v>
      </c>
      <c r="AQ4" s="176">
        <v>46175</v>
      </c>
      <c r="AR4" s="211" t="s">
        <v>1937</v>
      </c>
      <c r="AS4" s="211"/>
      <c r="AT4" s="211">
        <v>46235</v>
      </c>
      <c r="AU4" s="213" t="s">
        <v>1938</v>
      </c>
      <c r="AV4" s="3" t="s">
        <v>1939</v>
      </c>
      <c r="AW4" s="311" t="s">
        <v>1940</v>
      </c>
    </row>
    <row r="5" s="311" customFormat="1" ht="32.45" hidden="1" customHeight="1" spans="1:49">
      <c r="A5" s="208">
        <v>2</v>
      </c>
      <c r="B5" s="48" t="s">
        <v>1931</v>
      </c>
      <c r="C5" s="49" t="s">
        <v>1932</v>
      </c>
      <c r="D5" s="51" t="s">
        <v>1941</v>
      </c>
      <c r="E5" s="51" t="s">
        <v>1942</v>
      </c>
      <c r="F5" s="52">
        <v>46099</v>
      </c>
      <c r="G5" s="52">
        <v>46175</v>
      </c>
      <c r="H5" s="52">
        <v>46175</v>
      </c>
      <c r="I5" s="53">
        <v>46121</v>
      </c>
      <c r="J5" s="774">
        <f>SUM(L5:AI5)</f>
        <v>23040</v>
      </c>
      <c r="K5" s="175">
        <v>96</v>
      </c>
      <c r="L5" s="175">
        <v>960</v>
      </c>
      <c r="M5" s="175">
        <v>960</v>
      </c>
      <c r="N5" s="175">
        <v>960</v>
      </c>
      <c r="O5" s="175">
        <v>960</v>
      </c>
      <c r="P5" s="175">
        <v>960</v>
      </c>
      <c r="Q5" s="175">
        <v>960</v>
      </c>
      <c r="R5" s="175">
        <v>960</v>
      </c>
      <c r="S5" s="175">
        <v>960</v>
      </c>
      <c r="T5" s="175">
        <v>960</v>
      </c>
      <c r="U5" s="175">
        <v>960</v>
      </c>
      <c r="V5" s="175">
        <v>960</v>
      </c>
      <c r="W5" s="175">
        <v>960</v>
      </c>
      <c r="X5" s="175">
        <v>960</v>
      </c>
      <c r="Y5" s="175">
        <v>960</v>
      </c>
      <c r="Z5" s="175">
        <v>960</v>
      </c>
      <c r="AA5" s="175">
        <v>960</v>
      </c>
      <c r="AB5" s="175">
        <v>960</v>
      </c>
      <c r="AC5" s="175">
        <v>960</v>
      </c>
      <c r="AD5" s="175">
        <v>960</v>
      </c>
      <c r="AE5" s="175">
        <v>960</v>
      </c>
      <c r="AF5" s="175">
        <v>960</v>
      </c>
      <c r="AG5" s="175">
        <v>960</v>
      </c>
      <c r="AH5" s="175">
        <v>960</v>
      </c>
      <c r="AI5" s="175">
        <v>960</v>
      </c>
      <c r="AJ5" s="316" t="s">
        <v>1935</v>
      </c>
      <c r="AK5" s="49" t="s">
        <v>104</v>
      </c>
      <c r="AL5" s="48" t="s">
        <v>1744</v>
      </c>
      <c r="AM5" s="48" t="s">
        <v>1744</v>
      </c>
      <c r="AN5" s="48" t="s">
        <v>1072</v>
      </c>
      <c r="AO5" s="316" t="s">
        <v>1935</v>
      </c>
      <c r="AP5" s="48" t="s">
        <v>1936</v>
      </c>
      <c r="AQ5" s="176">
        <v>46175</v>
      </c>
      <c r="AR5" s="211">
        <v>46178</v>
      </c>
      <c r="AS5" s="211"/>
      <c r="AT5" s="211">
        <v>46249</v>
      </c>
      <c r="AU5" s="213" t="s">
        <v>1943</v>
      </c>
      <c r="AV5" s="3" t="s">
        <v>1939</v>
      </c>
      <c r="AW5" s="311" t="s">
        <v>1940</v>
      </c>
    </row>
    <row r="6" s="311" customFormat="1" ht="32.45" hidden="1" customHeight="1" spans="1:49">
      <c r="A6" s="208">
        <f>ROW()-3</f>
        <v>3</v>
      </c>
      <c r="B6" s="48" t="s">
        <v>1944</v>
      </c>
      <c r="C6" s="49" t="s">
        <v>1945</v>
      </c>
      <c r="D6" s="51" t="s">
        <v>1946</v>
      </c>
      <c r="E6" s="51" t="s">
        <v>1947</v>
      </c>
      <c r="F6" s="52">
        <v>46092</v>
      </c>
      <c r="G6" s="52">
        <v>46175</v>
      </c>
      <c r="H6" s="52">
        <v>46175</v>
      </c>
      <c r="I6" s="53">
        <v>46139</v>
      </c>
      <c r="J6" s="771">
        <f>SUM(L6:AI6)</f>
        <v>45120</v>
      </c>
      <c r="K6" s="175">
        <v>96</v>
      </c>
      <c r="L6" s="175">
        <v>1880</v>
      </c>
      <c r="M6" s="175">
        <v>1880</v>
      </c>
      <c r="N6" s="175">
        <v>1880</v>
      </c>
      <c r="O6" s="175">
        <v>1880</v>
      </c>
      <c r="P6" s="175">
        <v>1880</v>
      </c>
      <c r="Q6" s="175">
        <v>1880</v>
      </c>
      <c r="R6" s="175">
        <v>1880</v>
      </c>
      <c r="S6" s="175">
        <v>1880</v>
      </c>
      <c r="T6" s="175">
        <v>1880</v>
      </c>
      <c r="U6" s="175">
        <v>1880</v>
      </c>
      <c r="V6" s="175">
        <v>1880</v>
      </c>
      <c r="W6" s="175">
        <v>1880</v>
      </c>
      <c r="X6" s="175">
        <v>1880</v>
      </c>
      <c r="Y6" s="175">
        <v>1880</v>
      </c>
      <c r="Z6" s="175">
        <v>1880</v>
      </c>
      <c r="AA6" s="175">
        <v>1880</v>
      </c>
      <c r="AB6" s="175">
        <v>1880</v>
      </c>
      <c r="AC6" s="175">
        <v>1880</v>
      </c>
      <c r="AD6" s="175">
        <v>1880</v>
      </c>
      <c r="AE6" s="175">
        <v>1880</v>
      </c>
      <c r="AF6" s="175">
        <v>1880</v>
      </c>
      <c r="AG6" s="175">
        <v>1880</v>
      </c>
      <c r="AH6" s="175">
        <v>1880</v>
      </c>
      <c r="AI6" s="175">
        <v>1880</v>
      </c>
      <c r="AJ6" s="316" t="s">
        <v>1935</v>
      </c>
      <c r="AK6" s="49" t="s">
        <v>104</v>
      </c>
      <c r="AL6" s="48" t="s">
        <v>1744</v>
      </c>
      <c r="AM6" s="48" t="s">
        <v>1744</v>
      </c>
      <c r="AN6" s="48" t="s">
        <v>1072</v>
      </c>
      <c r="AO6" s="316" t="s">
        <v>1935</v>
      </c>
      <c r="AP6" s="48" t="s">
        <v>1936</v>
      </c>
      <c r="AQ6" s="176">
        <v>46175</v>
      </c>
      <c r="AR6" s="211">
        <v>46178</v>
      </c>
      <c r="AS6" s="211"/>
      <c r="AT6" s="211">
        <v>46220</v>
      </c>
      <c r="AU6" s="808">
        <v>1598562</v>
      </c>
      <c r="AV6" s="3" t="s">
        <v>1939</v>
      </c>
      <c r="AW6" s="311" t="s">
        <v>1948</v>
      </c>
    </row>
    <row r="7" s="311" customFormat="1" ht="32.45" customHeight="1" spans="1:49">
      <c r="A7" s="208">
        <v>3</v>
      </c>
      <c r="B7" s="48" t="s">
        <v>1944</v>
      </c>
      <c r="C7" s="49" t="s">
        <v>1945</v>
      </c>
      <c r="D7" s="51" t="s">
        <v>1949</v>
      </c>
      <c r="E7" s="51" t="s">
        <v>1950</v>
      </c>
      <c r="F7" s="52">
        <v>46092</v>
      </c>
      <c r="G7" s="52">
        <v>46175</v>
      </c>
      <c r="H7" s="52">
        <v>46175</v>
      </c>
      <c r="I7" s="53">
        <v>46140</v>
      </c>
      <c r="J7" s="771">
        <f>SUM(L7:AI7)</f>
        <v>37440</v>
      </c>
      <c r="K7" s="175">
        <v>96</v>
      </c>
      <c r="L7" s="175">
        <v>1560</v>
      </c>
      <c r="M7" s="175">
        <v>1560</v>
      </c>
      <c r="N7" s="175">
        <v>1560</v>
      </c>
      <c r="O7" s="175">
        <v>1560</v>
      </c>
      <c r="P7" s="175">
        <v>1560</v>
      </c>
      <c r="Q7" s="175">
        <v>1560</v>
      </c>
      <c r="R7" s="175">
        <v>1560</v>
      </c>
      <c r="S7" s="175">
        <v>1560</v>
      </c>
      <c r="T7" s="175">
        <v>1560</v>
      </c>
      <c r="U7" s="175">
        <v>1560</v>
      </c>
      <c r="V7" s="175">
        <v>1560</v>
      </c>
      <c r="W7" s="175">
        <v>1560</v>
      </c>
      <c r="X7" s="175">
        <v>1560</v>
      </c>
      <c r="Y7" s="175">
        <v>1560</v>
      </c>
      <c r="Z7" s="175">
        <v>1560</v>
      </c>
      <c r="AA7" s="175">
        <v>1560</v>
      </c>
      <c r="AB7" s="175">
        <v>1560</v>
      </c>
      <c r="AC7" s="175">
        <v>1560</v>
      </c>
      <c r="AD7" s="175">
        <v>1560</v>
      </c>
      <c r="AE7" s="175">
        <v>1560</v>
      </c>
      <c r="AF7" s="175">
        <v>1560</v>
      </c>
      <c r="AG7" s="175">
        <v>1560</v>
      </c>
      <c r="AH7" s="175">
        <v>1560</v>
      </c>
      <c r="AI7" s="175">
        <v>1560</v>
      </c>
      <c r="AJ7" s="316" t="s">
        <v>1935</v>
      </c>
      <c r="AK7" s="49" t="s">
        <v>104</v>
      </c>
      <c r="AL7" s="48" t="s">
        <v>1744</v>
      </c>
      <c r="AM7" s="48" t="s">
        <v>1744</v>
      </c>
      <c r="AN7" s="48" t="s">
        <v>1072</v>
      </c>
      <c r="AO7" s="316" t="s">
        <v>1935</v>
      </c>
      <c r="AP7" s="48" t="s">
        <v>1936</v>
      </c>
      <c r="AQ7" s="176">
        <v>46175</v>
      </c>
      <c r="AR7" s="211">
        <v>46178</v>
      </c>
      <c r="AS7" s="211"/>
      <c r="AT7" s="211"/>
      <c r="AU7" s="213" t="s">
        <v>1951</v>
      </c>
      <c r="AV7" s="3" t="s">
        <v>1939</v>
      </c>
      <c r="AW7" s="311" t="s">
        <v>1948</v>
      </c>
    </row>
    <row r="8" s="311" customFormat="1" ht="32.45" hidden="1" customHeight="1" spans="1:49">
      <c r="A8" s="208">
        <f>ROW()-3</f>
        <v>5</v>
      </c>
      <c r="B8" s="48" t="s">
        <v>1944</v>
      </c>
      <c r="C8" s="49" t="s">
        <v>1945</v>
      </c>
      <c r="D8" s="51" t="s">
        <v>1952</v>
      </c>
      <c r="E8" s="51" t="s">
        <v>1953</v>
      </c>
      <c r="F8" s="52">
        <v>46092</v>
      </c>
      <c r="G8" s="52">
        <v>46175</v>
      </c>
      <c r="H8" s="52">
        <v>46175</v>
      </c>
      <c r="I8" s="53">
        <v>46140</v>
      </c>
      <c r="J8" s="771">
        <f>SUM(L8:AI8)</f>
        <v>37440</v>
      </c>
      <c r="K8" s="175">
        <v>96</v>
      </c>
      <c r="L8" s="175">
        <v>1560</v>
      </c>
      <c r="M8" s="175">
        <v>1560</v>
      </c>
      <c r="N8" s="175">
        <v>1560</v>
      </c>
      <c r="O8" s="175">
        <v>1560</v>
      </c>
      <c r="P8" s="175">
        <v>1560</v>
      </c>
      <c r="Q8" s="175">
        <v>1560</v>
      </c>
      <c r="R8" s="175">
        <v>1560</v>
      </c>
      <c r="S8" s="175">
        <v>1560</v>
      </c>
      <c r="T8" s="175">
        <v>1560</v>
      </c>
      <c r="U8" s="175">
        <v>1560</v>
      </c>
      <c r="V8" s="175">
        <v>1560</v>
      </c>
      <c r="W8" s="175">
        <v>1560</v>
      </c>
      <c r="X8" s="175">
        <v>1560</v>
      </c>
      <c r="Y8" s="175">
        <v>1560</v>
      </c>
      <c r="Z8" s="175">
        <v>1560</v>
      </c>
      <c r="AA8" s="175">
        <v>1560</v>
      </c>
      <c r="AB8" s="175">
        <v>1560</v>
      </c>
      <c r="AC8" s="175">
        <v>1560</v>
      </c>
      <c r="AD8" s="175">
        <v>1560</v>
      </c>
      <c r="AE8" s="175">
        <v>1560</v>
      </c>
      <c r="AF8" s="175">
        <v>1560</v>
      </c>
      <c r="AG8" s="175">
        <v>1560</v>
      </c>
      <c r="AH8" s="175">
        <v>1560</v>
      </c>
      <c r="AI8" s="175">
        <v>1560</v>
      </c>
      <c r="AJ8" s="316" t="s">
        <v>1935</v>
      </c>
      <c r="AK8" s="49" t="s">
        <v>104</v>
      </c>
      <c r="AL8" s="48" t="s">
        <v>1744</v>
      </c>
      <c r="AM8" s="48" t="s">
        <v>1744</v>
      </c>
      <c r="AN8" s="48" t="s">
        <v>1072</v>
      </c>
      <c r="AO8" s="316" t="s">
        <v>1935</v>
      </c>
      <c r="AP8" s="48" t="s">
        <v>1936</v>
      </c>
      <c r="AQ8" s="176">
        <v>46175</v>
      </c>
      <c r="AR8" s="211">
        <v>46178</v>
      </c>
      <c r="AS8" s="211"/>
      <c r="AT8" s="211">
        <v>46273</v>
      </c>
      <c r="AU8" s="213" t="s">
        <v>1951</v>
      </c>
      <c r="AV8" s="3" t="s">
        <v>1939</v>
      </c>
      <c r="AW8" s="311" t="s">
        <v>1948</v>
      </c>
    </row>
    <row r="9" s="311" customFormat="1" ht="39" customHeight="1" spans="1:49">
      <c r="A9" s="215">
        <v>4</v>
      </c>
      <c r="B9" s="183"/>
      <c r="C9" s="96"/>
      <c r="D9" s="293"/>
      <c r="E9" s="293"/>
      <c r="F9" s="217"/>
      <c r="G9" s="217"/>
      <c r="H9" s="217"/>
      <c r="I9" s="218"/>
      <c r="J9" s="282"/>
      <c r="K9" s="95"/>
      <c r="L9" s="277"/>
      <c r="M9" s="277"/>
      <c r="N9" s="277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  <c r="AA9" s="277"/>
      <c r="AB9" s="277"/>
      <c r="AC9" s="277"/>
      <c r="AD9" s="277"/>
      <c r="AE9" s="277"/>
      <c r="AF9" s="277"/>
      <c r="AG9" s="277"/>
      <c r="AH9" s="277"/>
      <c r="AI9" s="277"/>
      <c r="AJ9" s="278"/>
      <c r="AK9" s="96"/>
      <c r="AL9" s="183"/>
      <c r="AM9" s="183"/>
      <c r="AN9" s="183"/>
      <c r="AO9" s="320"/>
      <c r="AP9" s="183"/>
      <c r="AQ9" s="280"/>
      <c r="AR9" s="809"/>
      <c r="AS9" s="279"/>
      <c r="AT9" s="279"/>
      <c r="AU9" s="224"/>
      <c r="AV9" s="3"/>
    </row>
    <row r="10" s="311" customFormat="1" ht="25.5" customHeight="1" spans="1:49">
      <c r="A10" s="215">
        <f>ROW()-3</f>
        <v>7</v>
      </c>
      <c r="B10" s="183"/>
      <c r="C10" s="96"/>
      <c r="D10" s="216"/>
      <c r="E10" s="216"/>
      <c r="F10" s="217"/>
      <c r="G10" s="217"/>
      <c r="H10" s="217"/>
      <c r="I10" s="218"/>
      <c r="J10" s="95"/>
      <c r="K10" s="95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83"/>
      <c r="AI10" s="283"/>
      <c r="AJ10" s="278"/>
      <c r="AK10" s="96"/>
      <c r="AL10" s="183"/>
      <c r="AM10" s="183"/>
      <c r="AN10" s="183"/>
      <c r="AO10" s="320"/>
      <c r="AP10" s="183"/>
      <c r="AQ10" s="280"/>
      <c r="AR10" s="279"/>
      <c r="AS10" s="279"/>
      <c r="AT10" s="279"/>
      <c r="AU10" s="224"/>
      <c r="AV10" s="3"/>
    </row>
    <row r="11" s="311" customFormat="1" ht="25.5" customHeight="1" spans="1:49">
      <c r="A11" s="215">
        <v>5</v>
      </c>
      <c r="B11" s="183"/>
      <c r="C11" s="96"/>
      <c r="D11" s="216"/>
      <c r="E11" s="216"/>
      <c r="F11" s="217"/>
      <c r="G11" s="217"/>
      <c r="H11" s="217"/>
      <c r="I11" s="218"/>
      <c r="J11" s="95"/>
      <c r="K11" s="95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  <c r="AA11" s="277"/>
      <c r="AB11" s="277"/>
      <c r="AC11" s="277"/>
      <c r="AD11" s="277"/>
      <c r="AE11" s="277"/>
      <c r="AF11" s="277"/>
      <c r="AG11" s="277"/>
      <c r="AH11" s="283"/>
      <c r="AI11" s="283"/>
      <c r="AJ11" s="278"/>
      <c r="AK11" s="96"/>
      <c r="AL11" s="183"/>
      <c r="AM11" s="183"/>
      <c r="AN11" s="183"/>
      <c r="AO11" s="320"/>
      <c r="AP11" s="183"/>
      <c r="AQ11" s="280"/>
      <c r="AR11" s="279"/>
      <c r="AS11" s="279"/>
      <c r="AT11" s="279"/>
      <c r="AU11" s="224"/>
      <c r="AV11" s="3"/>
    </row>
    <row r="12" s="3" customFormat="1" ht="27" customHeight="1" spans="1:49">
      <c r="A12" s="215"/>
      <c r="B12" s="183"/>
      <c r="C12" s="96"/>
      <c r="D12" s="216"/>
      <c r="E12" s="216"/>
      <c r="F12" s="217"/>
      <c r="G12" s="217"/>
      <c r="H12" s="217"/>
      <c r="I12" s="218"/>
      <c r="J12" s="95"/>
      <c r="K12" s="95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  <c r="AF12" s="277"/>
      <c r="AG12" s="277"/>
      <c r="AH12" s="283"/>
      <c r="AI12" s="283"/>
      <c r="AJ12" s="278"/>
      <c r="AK12" s="96"/>
      <c r="AL12" s="279"/>
      <c r="AM12" s="279"/>
      <c r="AN12" s="183"/>
      <c r="AO12" s="183"/>
      <c r="AP12" s="183"/>
      <c r="AQ12" s="280"/>
      <c r="AR12" s="222"/>
      <c r="AS12" s="97"/>
      <c r="AT12" s="97"/>
      <c r="AU12" s="224"/>
    </row>
    <row r="13" s="3" customFormat="1" ht="17.1" customHeight="1" spans="1:49">
      <c r="A13" s="93" t="s">
        <v>66</v>
      </c>
      <c r="B13" s="94"/>
      <c r="C13" s="94"/>
      <c r="D13" s="94"/>
      <c r="E13" s="94"/>
      <c r="F13" s="94"/>
      <c r="G13" s="94"/>
      <c r="H13" s="94"/>
      <c r="I13" s="94"/>
      <c r="J13" s="95">
        <f>SUM(J4:J12)</f>
        <v>177600</v>
      </c>
      <c r="K13" s="95"/>
      <c r="L13" s="95">
        <f t="shared" ref="L13:AI13" si="0">SUM(L4:L12)</f>
        <v>7400</v>
      </c>
      <c r="M13" s="95">
        <f t="shared" si="0"/>
        <v>7400</v>
      </c>
      <c r="N13" s="95">
        <f t="shared" si="0"/>
        <v>7400</v>
      </c>
      <c r="O13" s="95">
        <f t="shared" si="0"/>
        <v>7400</v>
      </c>
      <c r="P13" s="95">
        <f t="shared" si="0"/>
        <v>7400</v>
      </c>
      <c r="Q13" s="95">
        <f t="shared" si="0"/>
        <v>7400</v>
      </c>
      <c r="R13" s="95">
        <f t="shared" si="0"/>
        <v>7400</v>
      </c>
      <c r="S13" s="95">
        <f t="shared" si="0"/>
        <v>7400</v>
      </c>
      <c r="T13" s="95">
        <f t="shared" si="0"/>
        <v>7400</v>
      </c>
      <c r="U13" s="95">
        <f t="shared" si="0"/>
        <v>7400</v>
      </c>
      <c r="V13" s="95">
        <f t="shared" si="0"/>
        <v>7400</v>
      </c>
      <c r="W13" s="95">
        <f t="shared" si="0"/>
        <v>7400</v>
      </c>
      <c r="X13" s="95">
        <f t="shared" si="0"/>
        <v>7400</v>
      </c>
      <c r="Y13" s="95">
        <f t="shared" si="0"/>
        <v>7400</v>
      </c>
      <c r="Z13" s="95">
        <f t="shared" si="0"/>
        <v>7400</v>
      </c>
      <c r="AA13" s="95">
        <f t="shared" si="0"/>
        <v>7400</v>
      </c>
      <c r="AB13" s="95">
        <f t="shared" si="0"/>
        <v>7400</v>
      </c>
      <c r="AC13" s="95">
        <f t="shared" si="0"/>
        <v>7400</v>
      </c>
      <c r="AD13" s="95">
        <f t="shared" si="0"/>
        <v>7400</v>
      </c>
      <c r="AE13" s="95">
        <f t="shared" si="0"/>
        <v>7400</v>
      </c>
      <c r="AF13" s="95">
        <f t="shared" si="0"/>
        <v>7400</v>
      </c>
      <c r="AG13" s="95">
        <f t="shared" si="0"/>
        <v>7400</v>
      </c>
      <c r="AH13" s="95">
        <f t="shared" si="0"/>
        <v>7400</v>
      </c>
      <c r="AI13" s="95">
        <f t="shared" si="0"/>
        <v>7400</v>
      </c>
      <c r="AJ13" s="96"/>
      <c r="AK13" s="96"/>
      <c r="AL13" s="96"/>
      <c r="AM13" s="96"/>
      <c r="AN13" s="96"/>
      <c r="AO13" s="96"/>
      <c r="AP13" s="96"/>
      <c r="AQ13" s="97"/>
      <c r="AR13" s="97"/>
      <c r="AS13" s="97"/>
      <c r="AT13" s="97"/>
      <c r="AU13" s="239"/>
    </row>
    <row r="14" s="4" customFormat="1" ht="17.1" customHeight="1" spans="1:49">
      <c r="A14" s="99"/>
      <c r="B14" s="100"/>
      <c r="C14" s="100"/>
      <c r="D14" s="100"/>
      <c r="E14" s="100"/>
      <c r="F14" s="100"/>
      <c r="G14" s="100"/>
      <c r="H14" s="100"/>
      <c r="I14" s="100"/>
      <c r="J14" s="100">
        <f>SUM(L14:AG14)</f>
        <v>162800</v>
      </c>
      <c r="K14" s="100"/>
      <c r="L14" s="284">
        <f t="shared" ref="L14:AI14" si="1">2400+5000</f>
        <v>7400</v>
      </c>
      <c r="M14" s="284">
        <f t="shared" si="1"/>
        <v>7400</v>
      </c>
      <c r="N14" s="284">
        <f t="shared" si="1"/>
        <v>7400</v>
      </c>
      <c r="O14" s="284">
        <f t="shared" si="1"/>
        <v>7400</v>
      </c>
      <c r="P14" s="284">
        <f t="shared" si="1"/>
        <v>7400</v>
      </c>
      <c r="Q14" s="284">
        <f t="shared" si="1"/>
        <v>7400</v>
      </c>
      <c r="R14" s="284">
        <f t="shared" si="1"/>
        <v>7400</v>
      </c>
      <c r="S14" s="284">
        <f t="shared" si="1"/>
        <v>7400</v>
      </c>
      <c r="T14" s="284">
        <f t="shared" si="1"/>
        <v>7400</v>
      </c>
      <c r="U14" s="284">
        <f t="shared" si="1"/>
        <v>7400</v>
      </c>
      <c r="V14" s="284">
        <f t="shared" si="1"/>
        <v>7400</v>
      </c>
      <c r="W14" s="284">
        <f t="shared" si="1"/>
        <v>7400</v>
      </c>
      <c r="X14" s="284">
        <f t="shared" si="1"/>
        <v>7400</v>
      </c>
      <c r="Y14" s="284">
        <f t="shared" si="1"/>
        <v>7400</v>
      </c>
      <c r="Z14" s="284">
        <f t="shared" si="1"/>
        <v>7400</v>
      </c>
      <c r="AA14" s="284">
        <f t="shared" si="1"/>
        <v>7400</v>
      </c>
      <c r="AB14" s="284">
        <f t="shared" si="1"/>
        <v>7400</v>
      </c>
      <c r="AC14" s="284">
        <f t="shared" si="1"/>
        <v>7400</v>
      </c>
      <c r="AD14" s="284">
        <f t="shared" si="1"/>
        <v>7400</v>
      </c>
      <c r="AE14" s="284">
        <f t="shared" si="1"/>
        <v>7400</v>
      </c>
      <c r="AF14" s="284">
        <f t="shared" si="1"/>
        <v>7400</v>
      </c>
      <c r="AG14" s="284">
        <f t="shared" si="1"/>
        <v>7400</v>
      </c>
      <c r="AH14" s="284">
        <f t="shared" si="1"/>
        <v>7400</v>
      </c>
      <c r="AI14" s="284">
        <f t="shared" si="1"/>
        <v>7400</v>
      </c>
      <c r="AJ14" s="100"/>
      <c r="AK14" s="100"/>
      <c r="AL14" s="100"/>
      <c r="AM14" s="100"/>
      <c r="AN14" s="100"/>
      <c r="AO14" s="100"/>
      <c r="AP14" s="100"/>
      <c r="AQ14" s="101"/>
      <c r="AR14" s="101"/>
      <c r="AS14" s="101"/>
      <c r="AT14" s="101"/>
      <c r="AU14" s="240"/>
    </row>
    <row r="15" s="4" customFormat="1" ht="17.1" customHeight="1" spans="1:49">
      <c r="A15" s="241" t="s">
        <v>67</v>
      </c>
      <c r="B15" s="242"/>
      <c r="C15" s="242"/>
      <c r="D15" s="242"/>
      <c r="E15" s="242"/>
      <c r="F15" s="242"/>
      <c r="G15" s="242"/>
      <c r="H15" s="242"/>
      <c r="I15" s="243"/>
      <c r="J15" s="244">
        <f>SUM(L15:AI15)</f>
        <v>0</v>
      </c>
      <c r="K15" s="245"/>
      <c r="L15" s="106">
        <f t="shared" ref="L15:AI15" si="2">L14-L13</f>
        <v>0</v>
      </c>
      <c r="M15" s="106">
        <f t="shared" si="2"/>
        <v>0</v>
      </c>
      <c r="N15" s="106">
        <f t="shared" si="2"/>
        <v>0</v>
      </c>
      <c r="O15" s="106">
        <f t="shared" si="2"/>
        <v>0</v>
      </c>
      <c r="P15" s="106">
        <f t="shared" si="2"/>
        <v>0</v>
      </c>
      <c r="Q15" s="106">
        <f t="shared" si="2"/>
        <v>0</v>
      </c>
      <c r="R15" s="106">
        <f t="shared" si="2"/>
        <v>0</v>
      </c>
      <c r="S15" s="106">
        <f t="shared" si="2"/>
        <v>0</v>
      </c>
      <c r="T15" s="106">
        <f t="shared" si="2"/>
        <v>0</v>
      </c>
      <c r="U15" s="106">
        <f t="shared" si="2"/>
        <v>0</v>
      </c>
      <c r="V15" s="106">
        <f t="shared" si="2"/>
        <v>0</v>
      </c>
      <c r="W15" s="106">
        <f t="shared" si="2"/>
        <v>0</v>
      </c>
      <c r="X15" s="106">
        <f t="shared" si="2"/>
        <v>0</v>
      </c>
      <c r="Y15" s="106">
        <f t="shared" si="2"/>
        <v>0</v>
      </c>
      <c r="Z15" s="106">
        <f t="shared" si="2"/>
        <v>0</v>
      </c>
      <c r="AA15" s="106">
        <f t="shared" si="2"/>
        <v>0</v>
      </c>
      <c r="AB15" s="106">
        <f t="shared" si="2"/>
        <v>0</v>
      </c>
      <c r="AC15" s="106">
        <f t="shared" si="2"/>
        <v>0</v>
      </c>
      <c r="AD15" s="106">
        <f t="shared" si="2"/>
        <v>0</v>
      </c>
      <c r="AE15" s="106">
        <f t="shared" si="2"/>
        <v>0</v>
      </c>
      <c r="AF15" s="106">
        <f t="shared" si="2"/>
        <v>0</v>
      </c>
      <c r="AG15" s="106">
        <f t="shared" si="2"/>
        <v>0</v>
      </c>
      <c r="AH15" s="106">
        <f t="shared" si="2"/>
        <v>0</v>
      </c>
      <c r="AI15" s="106">
        <f t="shared" si="2"/>
        <v>0</v>
      </c>
      <c r="AJ15" s="107"/>
      <c r="AK15" s="107"/>
      <c r="AL15" s="107"/>
      <c r="AM15" s="107"/>
      <c r="AN15" s="107"/>
      <c r="AO15" s="107"/>
      <c r="AP15" s="107"/>
      <c r="AQ15" s="108"/>
      <c r="AR15" s="108"/>
      <c r="AS15" s="108"/>
      <c r="AT15" s="108"/>
      <c r="AU15" s="246"/>
    </row>
    <row r="16" spans="1:49">
      <c r="B16" s="110" t="s">
        <v>68</v>
      </c>
      <c r="C16" s="110"/>
      <c r="D16" s="111"/>
      <c r="E16" s="111"/>
      <c r="F16" s="111"/>
      <c r="G16" s="111"/>
      <c r="H16" s="111"/>
      <c r="I16" s="111"/>
    </row>
    <row r="19" spans="2:2">
      <c r="B19" s="286"/>
    </row>
    <row r="20" spans="2:2">
      <c r="B20" s="286"/>
    </row>
    <row r="21" spans="2:2">
      <c r="B21" s="286"/>
    </row>
    <row r="22" spans="2:2">
      <c r="B22" s="286"/>
    </row>
  </sheetData>
  <autoFilter xmlns:etc="http://www.wps.cn/officeDocument/2017/etCustomData" ref="A3:AV11" etc:filterBottomFollowUsedRange="0">
    <filterColumn colId="45">
      <filters blank="1"/>
    </filterColumn>
    <extLst/>
  </autoFilter>
  <mergeCells count="30">
    <mergeCell ref="A1:AP1"/>
    <mergeCell ref="AQ1:AS1"/>
    <mergeCell ref="AT1:AU1"/>
    <mergeCell ref="L2:AI2"/>
    <mergeCell ref="A13:I13"/>
    <mergeCell ref="A14:I14"/>
    <mergeCell ref="A15:I15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</mergeCells>
  <conditionalFormatting sqref="L15:AI15">
    <cfRule type="cellIs" dxfId="0" priority="1" operator="lessThan">
      <formula>0</formula>
    </cfRule>
  </conditionalFormatting>
  <printOptions horizontalCentered="1"/>
  <pageMargins left="0.118055555555556" right="0.118055555555556" top="0.55" bottom="0.55" header="0.313888888888889" footer="0.313888888888889"/>
  <pageSetup paperSize="9" scale="41" orientation="landscape"/>
  <headerFooter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AV21"/>
  <sheetViews>
    <sheetView workbookViewId="0">
      <pane xSplit="11" ySplit="3" topLeftCell="AF4" activePane="bottomRight" state="frozen"/>
      <selection/>
      <selection pane="topRight"/>
      <selection pane="bottomLeft"/>
      <selection pane="bottomRight" activeCell="AS27" sqref="AS27"/>
    </sheetView>
  </sheetViews>
  <sheetFormatPr defaultColWidth="9" defaultRowHeight="14.25"/>
  <cols>
    <col min="1" max="1" width="3.125" customWidth="1"/>
    <col min="2" max="2" width="7.875" customWidth="1"/>
    <col min="3" max="3" width="6.125" customWidth="1"/>
    <col min="4" max="4" width="13.625" customWidth="1"/>
    <col min="5" max="5" width="10" customWidth="1"/>
    <col min="6" max="7" width="6.625" customWidth="1"/>
    <col min="8" max="8" width="5.375" customWidth="1"/>
    <col min="9" max="9" width="5.5" customWidth="1"/>
    <col min="10" max="10" width="7.125" customWidth="1"/>
    <col min="11" max="11" width="5.125" customWidth="1"/>
    <col min="12" max="18" width="5.625" customWidth="1"/>
    <col min="19" max="19" width="6.125" customWidth="1"/>
    <col min="20" max="35" width="5.625" customWidth="1"/>
    <col min="36" max="36" width="7.375" customWidth="1"/>
    <col min="37" max="37" width="4.625" customWidth="1"/>
    <col min="38" max="38" width="5.875" customWidth="1"/>
    <col min="39" max="39" width="5.5" customWidth="1"/>
    <col min="40" max="40" width="5.625" customWidth="1"/>
    <col min="41" max="41" width="8" customWidth="1"/>
    <col min="42" max="42" width="17" customWidth="1"/>
    <col min="43" max="43" width="8" style="114" customWidth="1"/>
    <col min="44" max="44" width="11.875" style="113" customWidth="1"/>
    <col min="45" max="45" width="7.125" style="113" customWidth="1"/>
    <col min="46" max="46" width="7.625" style="113" customWidth="1"/>
    <col min="47" max="47" width="18.625" style="194" customWidth="1"/>
    <col min="48" max="48" width="17.125" style="255" customWidth="1"/>
  </cols>
  <sheetData>
    <row r="1" ht="35.1" customHeight="1" spans="1:48">
      <c r="A1" s="256" t="s">
        <v>1954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8"/>
      <c r="AQ1" s="259" t="s">
        <v>1</v>
      </c>
      <c r="AR1" s="312"/>
      <c r="AS1" s="260"/>
      <c r="AT1" s="200">
        <f ca="1">TODAY()</f>
        <v>46277</v>
      </c>
      <c r="AU1" s="201"/>
    </row>
    <row r="2" s="190" customFormat="1" ht="21.95" customHeight="1" spans="1:48">
      <c r="A2" s="14" t="s">
        <v>2</v>
      </c>
      <c r="B2" s="15" t="s">
        <v>3</v>
      </c>
      <c r="C2" s="15" t="s">
        <v>4</v>
      </c>
      <c r="D2" s="15" t="s">
        <v>5</v>
      </c>
      <c r="E2" s="16" t="s">
        <v>1955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7" t="s">
        <v>13</v>
      </c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20" t="s">
        <v>14</v>
      </c>
      <c r="AK2" s="22" t="s">
        <v>74</v>
      </c>
      <c r="AL2" s="22" t="s">
        <v>1922</v>
      </c>
      <c r="AM2" s="22" t="s">
        <v>1613</v>
      </c>
      <c r="AN2" s="22" t="s">
        <v>19</v>
      </c>
      <c r="AO2" s="22" t="s">
        <v>20</v>
      </c>
      <c r="AP2" s="261" t="s">
        <v>21</v>
      </c>
      <c r="AQ2" s="25" t="s">
        <v>22</v>
      </c>
      <c r="AR2" s="26" t="s">
        <v>23</v>
      </c>
      <c r="AS2" s="26" t="s">
        <v>24</v>
      </c>
      <c r="AT2" s="26" t="s">
        <v>25</v>
      </c>
      <c r="AU2" s="205" t="s">
        <v>26</v>
      </c>
      <c r="AV2" s="159"/>
    </row>
    <row r="3" s="190" customFormat="1" ht="36.75" customHeight="1" spans="1:48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4" t="s">
        <v>1956</v>
      </c>
      <c r="M3" s="264" t="s">
        <v>1957</v>
      </c>
      <c r="N3" s="292" t="s">
        <v>29</v>
      </c>
      <c r="O3" s="264" t="s">
        <v>1843</v>
      </c>
      <c r="P3" s="264" t="s">
        <v>30</v>
      </c>
      <c r="Q3" s="264" t="s">
        <v>1827</v>
      </c>
      <c r="R3" s="264" t="s">
        <v>1839</v>
      </c>
      <c r="S3" s="264" t="s">
        <v>34</v>
      </c>
      <c r="T3" s="264" t="s">
        <v>1842</v>
      </c>
      <c r="U3" s="264" t="s">
        <v>28</v>
      </c>
      <c r="V3" s="264" t="s">
        <v>1926</v>
      </c>
      <c r="W3" s="264" t="s">
        <v>32</v>
      </c>
      <c r="X3" s="264" t="s">
        <v>36</v>
      </c>
      <c r="Y3" s="264" t="s">
        <v>1849</v>
      </c>
      <c r="Z3" s="264" t="s">
        <v>1846</v>
      </c>
      <c r="AA3" s="264" t="s">
        <v>1840</v>
      </c>
      <c r="AB3" s="264" t="s">
        <v>1841</v>
      </c>
      <c r="AC3" s="264" t="s">
        <v>1851</v>
      </c>
      <c r="AD3" s="806" t="s">
        <v>1835</v>
      </c>
      <c r="AE3" s="264" t="s">
        <v>1836</v>
      </c>
      <c r="AF3" s="292" t="s">
        <v>1833</v>
      </c>
      <c r="AG3" s="264" t="s">
        <v>1834</v>
      </c>
      <c r="AH3" s="292" t="s">
        <v>1837</v>
      </c>
      <c r="AI3" s="264" t="s">
        <v>1838</v>
      </c>
      <c r="AJ3" s="31"/>
      <c r="AK3" s="32"/>
      <c r="AL3" s="32"/>
      <c r="AM3" s="32"/>
      <c r="AN3" s="32"/>
      <c r="AO3" s="32"/>
      <c r="AP3" s="267"/>
      <c r="AQ3" s="25"/>
      <c r="AR3" s="26"/>
      <c r="AS3" s="26"/>
      <c r="AT3" s="26"/>
      <c r="AU3" s="205"/>
      <c r="AV3" s="159"/>
    </row>
    <row r="4" s="311" customFormat="1" ht="30" hidden="1" customHeight="1" spans="1:48">
      <c r="A4" s="208">
        <f>ROW()-3</f>
        <v>1</v>
      </c>
      <c r="B4" s="48" t="s">
        <v>1958</v>
      </c>
      <c r="C4" s="49" t="s">
        <v>1959</v>
      </c>
      <c r="D4" s="50" t="s">
        <v>1960</v>
      </c>
      <c r="E4" s="50" t="s">
        <v>1961</v>
      </c>
      <c r="F4" s="52">
        <v>46105</v>
      </c>
      <c r="G4" s="52">
        <v>46177</v>
      </c>
      <c r="H4" s="52">
        <v>46177</v>
      </c>
      <c r="I4" s="53">
        <v>46146</v>
      </c>
      <c r="J4" s="774">
        <f>SUM(L4:AI4)</f>
        <v>85248</v>
      </c>
      <c r="K4" s="175">
        <v>96</v>
      </c>
      <c r="L4" s="175">
        <v>3552</v>
      </c>
      <c r="M4" s="175">
        <v>3552</v>
      </c>
      <c r="N4" s="175">
        <v>3552</v>
      </c>
      <c r="O4" s="175">
        <v>3552</v>
      </c>
      <c r="P4" s="175">
        <v>3552</v>
      </c>
      <c r="Q4" s="175">
        <v>3552</v>
      </c>
      <c r="R4" s="175">
        <v>3552</v>
      </c>
      <c r="S4" s="175">
        <v>3552</v>
      </c>
      <c r="T4" s="175">
        <v>3552</v>
      </c>
      <c r="U4" s="175">
        <v>3552</v>
      </c>
      <c r="V4" s="175">
        <v>3552</v>
      </c>
      <c r="W4" s="175">
        <v>3552</v>
      </c>
      <c r="X4" s="175">
        <v>3552</v>
      </c>
      <c r="Y4" s="175">
        <v>3552</v>
      </c>
      <c r="Z4" s="175">
        <v>3552</v>
      </c>
      <c r="AA4" s="175">
        <v>3552</v>
      </c>
      <c r="AB4" s="175">
        <v>3552</v>
      </c>
      <c r="AC4" s="175">
        <v>3552</v>
      </c>
      <c r="AD4" s="175">
        <v>3552</v>
      </c>
      <c r="AE4" s="175">
        <v>3552</v>
      </c>
      <c r="AF4" s="175">
        <v>3552</v>
      </c>
      <c r="AG4" s="175">
        <v>3552</v>
      </c>
      <c r="AH4" s="175">
        <v>3552</v>
      </c>
      <c r="AI4" s="175">
        <v>3552</v>
      </c>
      <c r="AJ4" s="316" t="s">
        <v>499</v>
      </c>
      <c r="AK4" s="49" t="s">
        <v>81</v>
      </c>
      <c r="AL4" s="48" t="s">
        <v>507</v>
      </c>
      <c r="AM4" s="48" t="s">
        <v>1744</v>
      </c>
      <c r="AN4" s="48" t="s">
        <v>514</v>
      </c>
      <c r="AO4" s="316" t="s">
        <v>499</v>
      </c>
      <c r="AP4" s="48" t="s">
        <v>1962</v>
      </c>
      <c r="AQ4" s="807">
        <v>46177</v>
      </c>
      <c r="AR4" s="211" t="s">
        <v>1963</v>
      </c>
      <c r="AS4" s="211"/>
      <c r="AT4" s="211">
        <v>46195</v>
      </c>
      <c r="AU4" s="213" t="s">
        <v>1964</v>
      </c>
      <c r="AV4" s="3" t="s">
        <v>1965</v>
      </c>
    </row>
    <row r="5" s="311" customFormat="1" ht="30" hidden="1" customHeight="1" spans="1:48">
      <c r="A5" s="208">
        <f t="shared" ref="A5:A10" si="0">ROW()-3</f>
        <v>2</v>
      </c>
      <c r="B5" s="48" t="s">
        <v>1958</v>
      </c>
      <c r="C5" s="49" t="s">
        <v>1959</v>
      </c>
      <c r="D5" s="51" t="s">
        <v>1966</v>
      </c>
      <c r="E5" s="51" t="s">
        <v>1967</v>
      </c>
      <c r="F5" s="52">
        <v>46105</v>
      </c>
      <c r="G5" s="52">
        <v>46177</v>
      </c>
      <c r="H5" s="52">
        <v>46177</v>
      </c>
      <c r="I5" s="53">
        <v>46146</v>
      </c>
      <c r="J5" s="774">
        <f>SUM(L5:AI5)</f>
        <v>76992</v>
      </c>
      <c r="K5" s="175">
        <v>96</v>
      </c>
      <c r="L5" s="175">
        <v>3208</v>
      </c>
      <c r="M5" s="175">
        <v>3208</v>
      </c>
      <c r="N5" s="175">
        <v>3208</v>
      </c>
      <c r="O5" s="175">
        <v>3208</v>
      </c>
      <c r="P5" s="175">
        <v>3208</v>
      </c>
      <c r="Q5" s="175">
        <v>3208</v>
      </c>
      <c r="R5" s="175">
        <v>3208</v>
      </c>
      <c r="S5" s="175">
        <v>3208</v>
      </c>
      <c r="T5" s="175">
        <v>3208</v>
      </c>
      <c r="U5" s="175">
        <v>3208</v>
      </c>
      <c r="V5" s="175">
        <v>3208</v>
      </c>
      <c r="W5" s="175">
        <v>3208</v>
      </c>
      <c r="X5" s="175">
        <v>3208</v>
      </c>
      <c r="Y5" s="175">
        <v>3208</v>
      </c>
      <c r="Z5" s="175">
        <v>3208</v>
      </c>
      <c r="AA5" s="175">
        <v>3208</v>
      </c>
      <c r="AB5" s="175">
        <v>3208</v>
      </c>
      <c r="AC5" s="175">
        <v>3208</v>
      </c>
      <c r="AD5" s="175">
        <v>3208</v>
      </c>
      <c r="AE5" s="175">
        <v>3208</v>
      </c>
      <c r="AF5" s="175">
        <v>3208</v>
      </c>
      <c r="AG5" s="175">
        <v>3208</v>
      </c>
      <c r="AH5" s="175">
        <v>3208</v>
      </c>
      <c r="AI5" s="175">
        <v>3208</v>
      </c>
      <c r="AJ5" s="316" t="s">
        <v>499</v>
      </c>
      <c r="AK5" s="49" t="s">
        <v>81</v>
      </c>
      <c r="AL5" s="48" t="s">
        <v>507</v>
      </c>
      <c r="AM5" s="48" t="s">
        <v>1744</v>
      </c>
      <c r="AN5" s="48" t="s">
        <v>514</v>
      </c>
      <c r="AO5" s="316" t="s">
        <v>499</v>
      </c>
      <c r="AP5" s="48" t="s">
        <v>1962</v>
      </c>
      <c r="AQ5" s="807">
        <v>46177</v>
      </c>
      <c r="AR5" s="211">
        <v>46182</v>
      </c>
      <c r="AS5" s="211"/>
      <c r="AT5" s="211">
        <v>46195</v>
      </c>
      <c r="AU5" s="213" t="s">
        <v>1968</v>
      </c>
      <c r="AV5" s="3" t="s">
        <v>1965</v>
      </c>
    </row>
    <row r="6" s="311" customFormat="1" ht="30" hidden="1" customHeight="1" spans="1:48">
      <c r="A6" s="208">
        <f t="shared" si="0"/>
        <v>3</v>
      </c>
      <c r="B6" s="48" t="s">
        <v>1958</v>
      </c>
      <c r="C6" s="49" t="s">
        <v>1959</v>
      </c>
      <c r="D6" s="51" t="s">
        <v>1969</v>
      </c>
      <c r="E6" s="51" t="s">
        <v>1970</v>
      </c>
      <c r="F6" s="52">
        <v>46105</v>
      </c>
      <c r="G6" s="52">
        <v>46187</v>
      </c>
      <c r="H6" s="52">
        <v>46187</v>
      </c>
      <c r="I6" s="53">
        <v>46146</v>
      </c>
      <c r="J6" s="774">
        <f>SUM(L6:AI6)</f>
        <v>85248</v>
      </c>
      <c r="K6" s="175">
        <v>96</v>
      </c>
      <c r="L6" s="175">
        <v>3552</v>
      </c>
      <c r="M6" s="175">
        <v>3552</v>
      </c>
      <c r="N6" s="175">
        <v>3552</v>
      </c>
      <c r="O6" s="175">
        <v>3552</v>
      </c>
      <c r="P6" s="175">
        <v>3552</v>
      </c>
      <c r="Q6" s="175">
        <v>3552</v>
      </c>
      <c r="R6" s="175">
        <v>3552</v>
      </c>
      <c r="S6" s="175">
        <v>3552</v>
      </c>
      <c r="T6" s="175">
        <v>3552</v>
      </c>
      <c r="U6" s="175">
        <v>3552</v>
      </c>
      <c r="V6" s="175">
        <v>3552</v>
      </c>
      <c r="W6" s="175">
        <v>3552</v>
      </c>
      <c r="X6" s="175">
        <v>3552</v>
      </c>
      <c r="Y6" s="175">
        <v>3552</v>
      </c>
      <c r="Z6" s="175">
        <v>3552</v>
      </c>
      <c r="AA6" s="175">
        <v>3552</v>
      </c>
      <c r="AB6" s="175">
        <v>3552</v>
      </c>
      <c r="AC6" s="175">
        <v>3552</v>
      </c>
      <c r="AD6" s="175">
        <v>3552</v>
      </c>
      <c r="AE6" s="175">
        <v>3552</v>
      </c>
      <c r="AF6" s="175">
        <v>3552</v>
      </c>
      <c r="AG6" s="175">
        <v>3552</v>
      </c>
      <c r="AH6" s="175">
        <v>3552</v>
      </c>
      <c r="AI6" s="175">
        <v>3552</v>
      </c>
      <c r="AJ6" s="316" t="s">
        <v>499</v>
      </c>
      <c r="AK6" s="49" t="s">
        <v>81</v>
      </c>
      <c r="AL6" s="48" t="s">
        <v>507</v>
      </c>
      <c r="AM6" s="48" t="s">
        <v>1744</v>
      </c>
      <c r="AN6" s="48" t="s">
        <v>514</v>
      </c>
      <c r="AO6" s="316" t="s">
        <v>499</v>
      </c>
      <c r="AP6" s="48" t="s">
        <v>1962</v>
      </c>
      <c r="AQ6" s="807">
        <v>46187</v>
      </c>
      <c r="AR6" s="211">
        <v>46182</v>
      </c>
      <c r="AS6" s="211"/>
      <c r="AT6" s="211">
        <v>46207</v>
      </c>
      <c r="AU6" s="213" t="s">
        <v>1971</v>
      </c>
      <c r="AV6" s="3" t="s">
        <v>1965</v>
      </c>
    </row>
    <row r="7" s="311" customFormat="1" ht="30" hidden="1" customHeight="1" spans="1:48">
      <c r="A7" s="208">
        <f t="shared" si="0"/>
        <v>4</v>
      </c>
      <c r="B7" s="48" t="s">
        <v>1958</v>
      </c>
      <c r="C7" s="49" t="s">
        <v>1959</v>
      </c>
      <c r="D7" s="51" t="s">
        <v>1972</v>
      </c>
      <c r="E7" s="51" t="s">
        <v>1973</v>
      </c>
      <c r="F7" s="52">
        <v>46105</v>
      </c>
      <c r="G7" s="52">
        <v>46207</v>
      </c>
      <c r="H7" s="52">
        <v>46207</v>
      </c>
      <c r="I7" s="53">
        <v>46146</v>
      </c>
      <c r="J7" s="771">
        <f>SUM(L7:AI7)</f>
        <v>85248</v>
      </c>
      <c r="K7" s="175">
        <v>96</v>
      </c>
      <c r="L7" s="175">
        <v>3552</v>
      </c>
      <c r="M7" s="175">
        <v>3552</v>
      </c>
      <c r="N7" s="175">
        <v>3552</v>
      </c>
      <c r="O7" s="175">
        <v>3552</v>
      </c>
      <c r="P7" s="175">
        <v>3552</v>
      </c>
      <c r="Q7" s="175">
        <v>3552</v>
      </c>
      <c r="R7" s="175">
        <v>3552</v>
      </c>
      <c r="S7" s="175">
        <v>3552</v>
      </c>
      <c r="T7" s="175">
        <v>3552</v>
      </c>
      <c r="U7" s="175">
        <v>3552</v>
      </c>
      <c r="V7" s="175">
        <v>3552</v>
      </c>
      <c r="W7" s="175">
        <v>3552</v>
      </c>
      <c r="X7" s="175">
        <v>3552</v>
      </c>
      <c r="Y7" s="175">
        <v>3552</v>
      </c>
      <c r="Z7" s="175">
        <v>3552</v>
      </c>
      <c r="AA7" s="175">
        <v>3552</v>
      </c>
      <c r="AB7" s="175">
        <v>3552</v>
      </c>
      <c r="AC7" s="175">
        <v>3552</v>
      </c>
      <c r="AD7" s="175">
        <v>3552</v>
      </c>
      <c r="AE7" s="175">
        <v>3552</v>
      </c>
      <c r="AF7" s="175">
        <v>3552</v>
      </c>
      <c r="AG7" s="175">
        <v>3552</v>
      </c>
      <c r="AH7" s="175">
        <v>3552</v>
      </c>
      <c r="AI7" s="175">
        <v>3552</v>
      </c>
      <c r="AJ7" s="316" t="s">
        <v>554</v>
      </c>
      <c r="AK7" s="49" t="s">
        <v>81</v>
      </c>
      <c r="AL7" s="48" t="s">
        <v>168</v>
      </c>
      <c r="AM7" s="48" t="s">
        <v>1974</v>
      </c>
      <c r="AN7" s="48" t="s">
        <v>1975</v>
      </c>
      <c r="AO7" s="316" t="s">
        <v>554</v>
      </c>
      <c r="AP7" s="48" t="s">
        <v>1962</v>
      </c>
      <c r="AQ7" s="807">
        <v>46207</v>
      </c>
      <c r="AR7" s="211">
        <v>46212</v>
      </c>
      <c r="AS7" s="211"/>
      <c r="AT7" s="211">
        <v>46221</v>
      </c>
      <c r="AU7" s="213" t="s">
        <v>1976</v>
      </c>
      <c r="AV7" s="3" t="s">
        <v>1965</v>
      </c>
    </row>
    <row r="8" s="311" customFormat="1" ht="30" hidden="1" customHeight="1" spans="1:48">
      <c r="A8" s="208">
        <f t="shared" si="0"/>
        <v>5</v>
      </c>
      <c r="B8" s="48" t="s">
        <v>1958</v>
      </c>
      <c r="C8" s="49" t="s">
        <v>1959</v>
      </c>
      <c r="D8" s="51" t="s">
        <v>1977</v>
      </c>
      <c r="E8" s="51" t="s">
        <v>1978</v>
      </c>
      <c r="F8" s="52">
        <v>46105</v>
      </c>
      <c r="G8" s="52">
        <v>46228</v>
      </c>
      <c r="H8" s="52">
        <v>46228</v>
      </c>
      <c r="I8" s="53">
        <v>46146</v>
      </c>
      <c r="J8" s="771">
        <f>SUM(L8:AI8)</f>
        <v>76992</v>
      </c>
      <c r="K8" s="175">
        <v>96</v>
      </c>
      <c r="L8" s="175">
        <v>3208</v>
      </c>
      <c r="M8" s="175">
        <v>3208</v>
      </c>
      <c r="N8" s="175">
        <v>3208</v>
      </c>
      <c r="O8" s="175">
        <v>3208</v>
      </c>
      <c r="P8" s="175">
        <v>3208</v>
      </c>
      <c r="Q8" s="175">
        <v>3208</v>
      </c>
      <c r="R8" s="175">
        <v>3208</v>
      </c>
      <c r="S8" s="175">
        <v>3208</v>
      </c>
      <c r="T8" s="175">
        <v>3208</v>
      </c>
      <c r="U8" s="175">
        <v>3208</v>
      </c>
      <c r="V8" s="175">
        <v>3208</v>
      </c>
      <c r="W8" s="175">
        <v>3208</v>
      </c>
      <c r="X8" s="175">
        <v>3208</v>
      </c>
      <c r="Y8" s="175">
        <v>3208</v>
      </c>
      <c r="Z8" s="175">
        <v>3208</v>
      </c>
      <c r="AA8" s="175">
        <v>3208</v>
      </c>
      <c r="AB8" s="175">
        <v>3208</v>
      </c>
      <c r="AC8" s="175">
        <v>3208</v>
      </c>
      <c r="AD8" s="175">
        <v>3208</v>
      </c>
      <c r="AE8" s="175">
        <v>3208</v>
      </c>
      <c r="AF8" s="175">
        <v>3208</v>
      </c>
      <c r="AG8" s="175">
        <v>3208</v>
      </c>
      <c r="AH8" s="175">
        <v>3208</v>
      </c>
      <c r="AI8" s="175">
        <v>3208</v>
      </c>
      <c r="AJ8" s="316" t="s">
        <v>554</v>
      </c>
      <c r="AK8" s="49" t="s">
        <v>81</v>
      </c>
      <c r="AL8" s="48" t="s">
        <v>933</v>
      </c>
      <c r="AM8" s="48" t="s">
        <v>1647</v>
      </c>
      <c r="AN8" s="48" t="s">
        <v>582</v>
      </c>
      <c r="AO8" s="316" t="s">
        <v>554</v>
      </c>
      <c r="AP8" s="48" t="s">
        <v>1962</v>
      </c>
      <c r="AQ8" s="807">
        <v>46228</v>
      </c>
      <c r="AR8" s="211">
        <v>46232</v>
      </c>
      <c r="AS8" s="211"/>
      <c r="AT8" s="211">
        <v>46248</v>
      </c>
      <c r="AU8" s="213" t="s">
        <v>1979</v>
      </c>
      <c r="AV8" s="3" t="s">
        <v>1965</v>
      </c>
    </row>
    <row r="9" s="311" customFormat="1" ht="25.5" customHeight="1" spans="1:48">
      <c r="A9" s="215">
        <f t="shared" si="0"/>
        <v>6</v>
      </c>
      <c r="B9" s="183"/>
      <c r="C9" s="96"/>
      <c r="D9" s="216"/>
      <c r="E9" s="216"/>
      <c r="F9" s="217"/>
      <c r="G9" s="217"/>
      <c r="H9" s="217"/>
      <c r="I9" s="218"/>
      <c r="J9" s="95"/>
      <c r="K9" s="95"/>
      <c r="L9" s="277"/>
      <c r="M9" s="277"/>
      <c r="N9" s="277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  <c r="AA9" s="277"/>
      <c r="AB9" s="277"/>
      <c r="AC9" s="277"/>
      <c r="AD9" s="277"/>
      <c r="AE9" s="277"/>
      <c r="AF9" s="277"/>
      <c r="AG9" s="277"/>
      <c r="AH9" s="283"/>
      <c r="AI9" s="283"/>
      <c r="AJ9" s="278"/>
      <c r="AK9" s="96"/>
      <c r="AL9" s="183"/>
      <c r="AM9" s="183"/>
      <c r="AN9" s="183"/>
      <c r="AO9" s="320"/>
      <c r="AP9" s="183"/>
      <c r="AQ9" s="280"/>
      <c r="AR9" s="279"/>
      <c r="AS9" s="279"/>
      <c r="AT9" s="279"/>
      <c r="AU9" s="224"/>
      <c r="AV9" s="3"/>
    </row>
    <row r="10" s="311" customFormat="1" ht="25.5" customHeight="1" spans="1:48">
      <c r="A10" s="215">
        <f t="shared" si="0"/>
        <v>7</v>
      </c>
      <c r="B10" s="183"/>
      <c r="C10" s="96"/>
      <c r="D10" s="216"/>
      <c r="E10" s="216"/>
      <c r="F10" s="217"/>
      <c r="G10" s="217"/>
      <c r="H10" s="217"/>
      <c r="I10" s="218"/>
      <c r="J10" s="95"/>
      <c r="K10" s="95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83"/>
      <c r="AI10" s="283"/>
      <c r="AJ10" s="278"/>
      <c r="AK10" s="96"/>
      <c r="AL10" s="183"/>
      <c r="AM10" s="183"/>
      <c r="AN10" s="183"/>
      <c r="AO10" s="320"/>
      <c r="AP10" s="183"/>
      <c r="AQ10" s="280"/>
      <c r="AR10" s="279"/>
      <c r="AS10" s="279"/>
      <c r="AT10" s="279"/>
      <c r="AU10" s="224"/>
      <c r="AV10" s="3"/>
    </row>
    <row r="11" s="3" customFormat="1" ht="27" customHeight="1" spans="1:48">
      <c r="A11" s="215"/>
      <c r="B11" s="183"/>
      <c r="C11" s="96"/>
      <c r="D11" s="216"/>
      <c r="E11" s="216"/>
      <c r="F11" s="217"/>
      <c r="G11" s="217"/>
      <c r="H11" s="217"/>
      <c r="I11" s="218"/>
      <c r="J11" s="95"/>
      <c r="K11" s="95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  <c r="AA11" s="277"/>
      <c r="AB11" s="277"/>
      <c r="AC11" s="277"/>
      <c r="AD11" s="277"/>
      <c r="AE11" s="277"/>
      <c r="AF11" s="277"/>
      <c r="AG11" s="277"/>
      <c r="AH11" s="283"/>
      <c r="AI11" s="283"/>
      <c r="AJ11" s="278"/>
      <c r="AK11" s="96"/>
      <c r="AL11" s="279"/>
      <c r="AM11" s="279"/>
      <c r="AN11" s="183"/>
      <c r="AO11" s="183"/>
      <c r="AP11" s="183"/>
      <c r="AQ11" s="280"/>
      <c r="AR11" s="222"/>
      <c r="AS11" s="97"/>
      <c r="AT11" s="97"/>
      <c r="AU11" s="224"/>
    </row>
    <row r="12" s="3" customFormat="1" ht="17.1" customHeight="1" spans="1:48">
      <c r="A12" s="93" t="s">
        <v>66</v>
      </c>
      <c r="B12" s="94"/>
      <c r="C12" s="94"/>
      <c r="D12" s="94"/>
      <c r="E12" s="94"/>
      <c r="F12" s="94"/>
      <c r="G12" s="94"/>
      <c r="H12" s="94"/>
      <c r="I12" s="94"/>
      <c r="J12" s="95">
        <f>SUM(J4:J11)</f>
        <v>409728</v>
      </c>
      <c r="K12" s="95"/>
      <c r="L12" s="95">
        <f t="shared" ref="L12:AI12" si="1">SUM(L4:L11)</f>
        <v>17072</v>
      </c>
      <c r="M12" s="95">
        <f t="shared" si="1"/>
        <v>17072</v>
      </c>
      <c r="N12" s="95">
        <f t="shared" si="1"/>
        <v>17072</v>
      </c>
      <c r="O12" s="95">
        <f t="shared" si="1"/>
        <v>17072</v>
      </c>
      <c r="P12" s="95">
        <f t="shared" si="1"/>
        <v>17072</v>
      </c>
      <c r="Q12" s="95">
        <f t="shared" si="1"/>
        <v>17072</v>
      </c>
      <c r="R12" s="95">
        <f t="shared" si="1"/>
        <v>17072</v>
      </c>
      <c r="S12" s="95">
        <f t="shared" si="1"/>
        <v>17072</v>
      </c>
      <c r="T12" s="95">
        <f t="shared" si="1"/>
        <v>17072</v>
      </c>
      <c r="U12" s="95">
        <f t="shared" si="1"/>
        <v>17072</v>
      </c>
      <c r="V12" s="95">
        <f t="shared" si="1"/>
        <v>17072</v>
      </c>
      <c r="W12" s="95">
        <f t="shared" si="1"/>
        <v>17072</v>
      </c>
      <c r="X12" s="95">
        <f t="shared" si="1"/>
        <v>17072</v>
      </c>
      <c r="Y12" s="95">
        <f t="shared" si="1"/>
        <v>17072</v>
      </c>
      <c r="Z12" s="95">
        <f t="shared" si="1"/>
        <v>17072</v>
      </c>
      <c r="AA12" s="95">
        <f t="shared" si="1"/>
        <v>17072</v>
      </c>
      <c r="AB12" s="95">
        <f t="shared" si="1"/>
        <v>17072</v>
      </c>
      <c r="AC12" s="95">
        <f t="shared" si="1"/>
        <v>17072</v>
      </c>
      <c r="AD12" s="95">
        <f t="shared" si="1"/>
        <v>17072</v>
      </c>
      <c r="AE12" s="95">
        <f t="shared" si="1"/>
        <v>17072</v>
      </c>
      <c r="AF12" s="95">
        <f t="shared" si="1"/>
        <v>17072</v>
      </c>
      <c r="AG12" s="95">
        <f t="shared" si="1"/>
        <v>17072</v>
      </c>
      <c r="AH12" s="95">
        <f t="shared" si="1"/>
        <v>17072</v>
      </c>
      <c r="AI12" s="95">
        <f t="shared" si="1"/>
        <v>17072</v>
      </c>
      <c r="AJ12" s="96"/>
      <c r="AK12" s="96"/>
      <c r="AL12" s="96"/>
      <c r="AM12" s="96"/>
      <c r="AN12" s="96"/>
      <c r="AO12" s="96"/>
      <c r="AP12" s="96"/>
      <c r="AQ12" s="97"/>
      <c r="AR12" s="97"/>
      <c r="AS12" s="97"/>
      <c r="AT12" s="97"/>
      <c r="AU12" s="239"/>
    </row>
    <row r="13" s="4" customFormat="1" ht="17.1" customHeight="1" spans="1:48">
      <c r="A13" s="99"/>
      <c r="B13" s="100"/>
      <c r="C13" s="100"/>
      <c r="D13" s="100"/>
      <c r="E13" s="100"/>
      <c r="F13" s="100"/>
      <c r="G13" s="100"/>
      <c r="H13" s="100"/>
      <c r="I13" s="100"/>
      <c r="J13" s="100">
        <f>SUM(L13:AG13)</f>
        <v>375584</v>
      </c>
      <c r="K13" s="100"/>
      <c r="L13" s="100">
        <f>17000+72</f>
        <v>17072</v>
      </c>
      <c r="M13" s="100">
        <f t="shared" ref="M13:AI13" si="2">17000+72</f>
        <v>17072</v>
      </c>
      <c r="N13" s="100">
        <f t="shared" si="2"/>
        <v>17072</v>
      </c>
      <c r="O13" s="100">
        <f t="shared" si="2"/>
        <v>17072</v>
      </c>
      <c r="P13" s="100">
        <f t="shared" si="2"/>
        <v>17072</v>
      </c>
      <c r="Q13" s="100">
        <f t="shared" si="2"/>
        <v>17072</v>
      </c>
      <c r="R13" s="100">
        <f t="shared" si="2"/>
        <v>17072</v>
      </c>
      <c r="S13" s="100">
        <f t="shared" si="2"/>
        <v>17072</v>
      </c>
      <c r="T13" s="100">
        <f t="shared" si="2"/>
        <v>17072</v>
      </c>
      <c r="U13" s="100">
        <f t="shared" si="2"/>
        <v>17072</v>
      </c>
      <c r="V13" s="100">
        <f t="shared" si="2"/>
        <v>17072</v>
      </c>
      <c r="W13" s="100">
        <f t="shared" si="2"/>
        <v>17072</v>
      </c>
      <c r="X13" s="100">
        <f t="shared" si="2"/>
        <v>17072</v>
      </c>
      <c r="Y13" s="100">
        <f t="shared" si="2"/>
        <v>17072</v>
      </c>
      <c r="Z13" s="100">
        <f t="shared" si="2"/>
        <v>17072</v>
      </c>
      <c r="AA13" s="100">
        <f t="shared" si="2"/>
        <v>17072</v>
      </c>
      <c r="AB13" s="100">
        <f t="shared" si="2"/>
        <v>17072</v>
      </c>
      <c r="AC13" s="100">
        <f t="shared" si="2"/>
        <v>17072</v>
      </c>
      <c r="AD13" s="100">
        <f t="shared" si="2"/>
        <v>17072</v>
      </c>
      <c r="AE13" s="100">
        <f t="shared" si="2"/>
        <v>17072</v>
      </c>
      <c r="AF13" s="100">
        <f t="shared" si="2"/>
        <v>17072</v>
      </c>
      <c r="AG13" s="100">
        <f t="shared" si="2"/>
        <v>17072</v>
      </c>
      <c r="AH13" s="100">
        <f t="shared" si="2"/>
        <v>17072</v>
      </c>
      <c r="AI13" s="100">
        <f t="shared" si="2"/>
        <v>17072</v>
      </c>
      <c r="AJ13" s="100"/>
      <c r="AK13" s="100"/>
      <c r="AL13" s="100"/>
      <c r="AM13" s="100"/>
      <c r="AN13" s="100"/>
      <c r="AO13" s="100"/>
      <c r="AP13" s="100"/>
      <c r="AQ13" s="101"/>
      <c r="AR13" s="101"/>
      <c r="AS13" s="101"/>
      <c r="AT13" s="101"/>
      <c r="AU13" s="240"/>
    </row>
    <row r="14" s="4" customFormat="1" ht="17.1" customHeight="1" spans="1:48">
      <c r="A14" s="241" t="s">
        <v>67</v>
      </c>
      <c r="B14" s="242"/>
      <c r="C14" s="242"/>
      <c r="D14" s="242"/>
      <c r="E14" s="242"/>
      <c r="F14" s="242"/>
      <c r="G14" s="242"/>
      <c r="H14" s="242"/>
      <c r="I14" s="243"/>
      <c r="J14" s="244">
        <f>SUM(L14:AI14)</f>
        <v>0</v>
      </c>
      <c r="K14" s="245"/>
      <c r="L14" s="106">
        <f t="shared" ref="L14:AI14" si="3">L13-L12</f>
        <v>0</v>
      </c>
      <c r="M14" s="106">
        <f t="shared" si="3"/>
        <v>0</v>
      </c>
      <c r="N14" s="106">
        <f t="shared" si="3"/>
        <v>0</v>
      </c>
      <c r="O14" s="106">
        <f t="shared" si="3"/>
        <v>0</v>
      </c>
      <c r="P14" s="106">
        <f t="shared" si="3"/>
        <v>0</v>
      </c>
      <c r="Q14" s="106">
        <f t="shared" si="3"/>
        <v>0</v>
      </c>
      <c r="R14" s="106">
        <f t="shared" si="3"/>
        <v>0</v>
      </c>
      <c r="S14" s="106">
        <f t="shared" si="3"/>
        <v>0</v>
      </c>
      <c r="T14" s="106">
        <f t="shared" si="3"/>
        <v>0</v>
      </c>
      <c r="U14" s="106">
        <f t="shared" si="3"/>
        <v>0</v>
      </c>
      <c r="V14" s="106">
        <f t="shared" si="3"/>
        <v>0</v>
      </c>
      <c r="W14" s="106">
        <f t="shared" si="3"/>
        <v>0</v>
      </c>
      <c r="X14" s="106">
        <f t="shared" si="3"/>
        <v>0</v>
      </c>
      <c r="Y14" s="106">
        <f t="shared" si="3"/>
        <v>0</v>
      </c>
      <c r="Z14" s="106">
        <f t="shared" si="3"/>
        <v>0</v>
      </c>
      <c r="AA14" s="106">
        <f t="shared" si="3"/>
        <v>0</v>
      </c>
      <c r="AB14" s="106">
        <f t="shared" si="3"/>
        <v>0</v>
      </c>
      <c r="AC14" s="106">
        <f t="shared" si="3"/>
        <v>0</v>
      </c>
      <c r="AD14" s="106">
        <f t="shared" si="3"/>
        <v>0</v>
      </c>
      <c r="AE14" s="106">
        <f t="shared" si="3"/>
        <v>0</v>
      </c>
      <c r="AF14" s="106">
        <f t="shared" si="3"/>
        <v>0</v>
      </c>
      <c r="AG14" s="106">
        <f t="shared" si="3"/>
        <v>0</v>
      </c>
      <c r="AH14" s="106">
        <f t="shared" si="3"/>
        <v>0</v>
      </c>
      <c r="AI14" s="106">
        <f t="shared" si="3"/>
        <v>0</v>
      </c>
      <c r="AJ14" s="107"/>
      <c r="AK14" s="107"/>
      <c r="AL14" s="107"/>
      <c r="AM14" s="107"/>
      <c r="AN14" s="107"/>
      <c r="AO14" s="107"/>
      <c r="AP14" s="107"/>
      <c r="AQ14" s="108"/>
      <c r="AR14" s="108"/>
      <c r="AS14" s="108"/>
      <c r="AT14" s="108"/>
      <c r="AU14" s="246"/>
    </row>
    <row r="15" spans="1:48">
      <c r="B15" s="110" t="s">
        <v>68</v>
      </c>
      <c r="C15" s="110"/>
      <c r="D15" s="111"/>
      <c r="E15" s="111"/>
      <c r="F15" s="111"/>
      <c r="G15" s="111"/>
      <c r="H15" s="111"/>
      <c r="I15" s="111"/>
    </row>
    <row r="18" spans="2:2">
      <c r="B18" s="286"/>
    </row>
    <row r="19" spans="2:2">
      <c r="B19" s="286"/>
    </row>
    <row r="20" spans="2:2">
      <c r="B20" s="286"/>
    </row>
    <row r="21" spans="2:2">
      <c r="B21" s="286"/>
    </row>
  </sheetData>
  <autoFilter xmlns:etc="http://www.wps.cn/officeDocument/2017/etCustomData" ref="A3:AV10" etc:filterBottomFollowUsedRange="0">
    <filterColumn colId="45">
      <filters blank="1"/>
    </filterColumn>
    <extLst/>
  </autoFilter>
  <mergeCells count="30">
    <mergeCell ref="A1:AP1"/>
    <mergeCell ref="AQ1:AS1"/>
    <mergeCell ref="AT1:AU1"/>
    <mergeCell ref="L2:AI2"/>
    <mergeCell ref="A12:I12"/>
    <mergeCell ref="A13:I13"/>
    <mergeCell ref="A14:I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</mergeCells>
  <conditionalFormatting sqref="L14:AI14">
    <cfRule type="cellIs" dxfId="0" priority="1" operator="lessThan">
      <formula>0</formula>
    </cfRule>
  </conditionalFormatting>
  <printOptions horizontalCentered="1"/>
  <pageMargins left="0.118055555555556" right="0.118055555555556" top="0.550694444444444" bottom="0.550694444444444" header="0.314583333333333" footer="0.314583333333333"/>
  <pageSetup paperSize="9" scale="42" orientation="landscape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99FF"/>
    <pageSetUpPr fitToPage="1"/>
  </sheetPr>
  <dimension ref="A1:BH71"/>
  <sheetViews>
    <sheetView workbookViewId="0">
      <pane xSplit="11" ySplit="3" topLeftCell="R4" activePane="bottomRight" state="frozen"/>
      <selection/>
      <selection pane="topRight"/>
      <selection pane="bottomLeft"/>
      <selection pane="bottomRight" activeCell="AE55" sqref="AE55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1.625" customWidth="1"/>
    <col min="6" max="9" width="5.875" customWidth="1"/>
    <col min="10" max="10" width="7.125" customWidth="1"/>
    <col min="11" max="11" width="5.125" customWidth="1"/>
    <col min="12" max="45" width="6.375" customWidth="1"/>
    <col min="46" max="46" width="9.375" customWidth="1"/>
    <col min="47" max="47" width="5.125" customWidth="1"/>
    <col min="48" max="49" width="6.625" customWidth="1"/>
    <col min="50" max="50" width="6.875" customWidth="1"/>
    <col min="51" max="51" width="8.875" customWidth="1"/>
    <col min="52" max="52" width="22.625" customWidth="1"/>
    <col min="53" max="53" width="8.625" style="114" customWidth="1"/>
    <col min="54" max="54" width="11.5" style="113" customWidth="1"/>
    <col min="55" max="55" width="8" style="113" customWidth="1"/>
    <col min="56" max="56" width="9.5" style="113" customWidth="1"/>
    <col min="57" max="57" width="13.5" style="194" customWidth="1"/>
    <col min="58" max="58" width="17.125" style="255" customWidth="1"/>
    <col min="59" max="59" width="6.375" customWidth="1"/>
  </cols>
  <sheetData>
    <row r="1" ht="35.1" customHeight="1" spans="1:60">
      <c r="A1" s="298" t="s">
        <v>1980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59" t="s">
        <v>1</v>
      </c>
      <c r="BB1" s="312"/>
      <c r="BC1" s="260"/>
      <c r="BD1" s="200">
        <f ca="1">TODAY()</f>
        <v>46277</v>
      </c>
      <c r="BE1" s="201"/>
    </row>
    <row r="2" s="190" customFormat="1" ht="21.95" customHeight="1" spans="1:60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7"/>
      <c r="AL2" s="187" t="s">
        <v>1981</v>
      </c>
      <c r="AM2" s="188"/>
      <c r="AN2" s="188"/>
      <c r="AO2" s="188"/>
      <c r="AP2" s="188"/>
      <c r="AQ2" s="188"/>
      <c r="AR2" s="188"/>
      <c r="AS2" s="189"/>
      <c r="AT2" s="20" t="s">
        <v>14</v>
      </c>
      <c r="AU2" s="22" t="s">
        <v>15</v>
      </c>
      <c r="AV2" s="22" t="s">
        <v>1982</v>
      </c>
      <c r="AW2" s="22" t="s">
        <v>18</v>
      </c>
      <c r="AX2" s="22" t="s">
        <v>19</v>
      </c>
      <c r="AY2" s="22" t="s">
        <v>20</v>
      </c>
      <c r="AZ2" s="261" t="s">
        <v>21</v>
      </c>
      <c r="BA2" s="25" t="s">
        <v>22</v>
      </c>
      <c r="BB2" s="26" t="s">
        <v>23</v>
      </c>
      <c r="BC2" s="26" t="s">
        <v>24</v>
      </c>
      <c r="BD2" s="26" t="s">
        <v>25</v>
      </c>
      <c r="BE2" s="205" t="s">
        <v>26</v>
      </c>
      <c r="BF2" s="159"/>
    </row>
    <row r="3" s="190" customFormat="1" ht="41.25" customHeight="1" spans="1:60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313" t="s">
        <v>1622</v>
      </c>
      <c r="M3" s="313" t="s">
        <v>1621</v>
      </c>
      <c r="N3" s="314" t="s">
        <v>1983</v>
      </c>
      <c r="O3" s="314" t="s">
        <v>1984</v>
      </c>
      <c r="P3" s="313" t="s">
        <v>1985</v>
      </c>
      <c r="Q3" s="313" t="s">
        <v>1986</v>
      </c>
      <c r="R3" s="313" t="s">
        <v>1987</v>
      </c>
      <c r="S3" s="313" t="s">
        <v>1988</v>
      </c>
      <c r="T3" s="313" t="s">
        <v>1989</v>
      </c>
      <c r="U3" s="313" t="s">
        <v>1990</v>
      </c>
      <c r="V3" s="313" t="s">
        <v>1991</v>
      </c>
      <c r="W3" s="313" t="s">
        <v>1992</v>
      </c>
      <c r="X3" s="313" t="s">
        <v>1993</v>
      </c>
      <c r="Y3" s="314" t="s">
        <v>1994</v>
      </c>
      <c r="Z3" s="314" t="s">
        <v>1995</v>
      </c>
      <c r="AA3" s="313" t="s">
        <v>1594</v>
      </c>
      <c r="AB3" s="313" t="s">
        <v>1831</v>
      </c>
      <c r="AC3" s="314" t="s">
        <v>1996</v>
      </c>
      <c r="AD3" s="313" t="s">
        <v>1844</v>
      </c>
      <c r="AE3" s="313" t="s">
        <v>1845</v>
      </c>
      <c r="AF3" s="313" t="s">
        <v>1997</v>
      </c>
      <c r="AG3" s="313" t="s">
        <v>1998</v>
      </c>
      <c r="AH3" s="314" t="s">
        <v>1846</v>
      </c>
      <c r="AI3" s="314" t="s">
        <v>1847</v>
      </c>
      <c r="AJ3" s="313" t="s">
        <v>1848</v>
      </c>
      <c r="AK3" s="313" t="s">
        <v>1595</v>
      </c>
      <c r="AL3" s="314" t="s">
        <v>1999</v>
      </c>
      <c r="AM3" s="313" t="s">
        <v>2000</v>
      </c>
      <c r="AN3" s="313" t="s">
        <v>1851</v>
      </c>
      <c r="AO3" s="314" t="s">
        <v>1852</v>
      </c>
      <c r="AP3" s="313" t="s">
        <v>2001</v>
      </c>
      <c r="AQ3" s="313" t="s">
        <v>1592</v>
      </c>
      <c r="AR3" s="314" t="s">
        <v>1593</v>
      </c>
      <c r="AS3" s="314" t="s">
        <v>1853</v>
      </c>
      <c r="AT3" s="31"/>
      <c r="AU3" s="32"/>
      <c r="AV3" s="32"/>
      <c r="AW3" s="32"/>
      <c r="AX3" s="32"/>
      <c r="AY3" s="32"/>
      <c r="AZ3" s="267"/>
      <c r="BA3" s="25"/>
      <c r="BB3" s="26"/>
      <c r="BC3" s="26"/>
      <c r="BD3" s="26"/>
      <c r="BE3" s="205"/>
      <c r="BF3" s="159" t="s">
        <v>65</v>
      </c>
      <c r="BG3" s="206"/>
      <c r="BH3" s="206" t="s">
        <v>2002</v>
      </c>
    </row>
    <row r="4" s="311" customFormat="1" ht="30.75" hidden="1" customHeight="1" spans="1:60">
      <c r="A4" s="208">
        <f t="shared" ref="A4:A21" si="0">ROW()-3</f>
        <v>1</v>
      </c>
      <c r="B4" s="48" t="s">
        <v>2003</v>
      </c>
      <c r="C4" s="49" t="s">
        <v>325</v>
      </c>
      <c r="D4" s="805" t="s">
        <v>2004</v>
      </c>
      <c r="E4" s="805"/>
      <c r="F4" s="52">
        <v>45790</v>
      </c>
      <c r="G4" s="52">
        <v>45853</v>
      </c>
      <c r="H4" s="52">
        <v>45890</v>
      </c>
      <c r="I4" s="53">
        <v>45846</v>
      </c>
      <c r="J4" s="175">
        <v>30006</v>
      </c>
      <c r="K4" s="175">
        <v>18</v>
      </c>
      <c r="L4" s="175">
        <f>J4/K4*3</f>
        <v>5001</v>
      </c>
      <c r="M4" s="175"/>
      <c r="N4" s="175"/>
      <c r="O4" s="175"/>
      <c r="P4" s="175"/>
      <c r="Q4" s="175"/>
      <c r="R4" s="175"/>
      <c r="S4" s="175"/>
      <c r="T4" s="175">
        <f>J4/K4*3</f>
        <v>5001</v>
      </c>
      <c r="U4" s="175">
        <f>J4/K4*2</f>
        <v>3334</v>
      </c>
      <c r="V4" s="175">
        <f>J4/K4*2</f>
        <v>3334</v>
      </c>
      <c r="W4" s="175">
        <f>J4/K4*2</f>
        <v>3334</v>
      </c>
      <c r="X4" s="175">
        <f>J4/K4*2</f>
        <v>3334</v>
      </c>
      <c r="Y4" s="175">
        <f>J4/K4*2</f>
        <v>3334</v>
      </c>
      <c r="Z4" s="175">
        <f>J4/K4*2</f>
        <v>3334</v>
      </c>
      <c r="AA4" s="703"/>
      <c r="AB4" s="703"/>
      <c r="AC4" s="703"/>
      <c r="AD4" s="703"/>
      <c r="AE4" s="703"/>
      <c r="AF4" s="703"/>
      <c r="AG4" s="703"/>
      <c r="AH4" s="703"/>
      <c r="AI4" s="703"/>
      <c r="AJ4" s="703"/>
      <c r="AK4" s="703"/>
      <c r="AL4" s="703"/>
      <c r="AM4" s="703"/>
      <c r="AN4" s="703"/>
      <c r="AO4" s="703"/>
      <c r="AP4" s="703"/>
      <c r="AQ4" s="703"/>
      <c r="AR4" s="703"/>
      <c r="AS4" s="703"/>
      <c r="AT4" s="316" t="s">
        <v>2005</v>
      </c>
      <c r="AU4" s="49" t="s">
        <v>81</v>
      </c>
      <c r="AV4" s="48" t="s">
        <v>256</v>
      </c>
      <c r="AW4" s="48" t="s">
        <v>247</v>
      </c>
      <c r="AX4" s="48" t="s">
        <v>616</v>
      </c>
      <c r="AY4" s="316" t="s">
        <v>2005</v>
      </c>
      <c r="AZ4" s="48" t="s">
        <v>2006</v>
      </c>
      <c r="BA4" s="325">
        <v>46006</v>
      </c>
      <c r="BB4" s="211">
        <v>46007</v>
      </c>
      <c r="BC4" s="211"/>
      <c r="BD4" s="211">
        <v>46037</v>
      </c>
      <c r="BE4" s="213" t="s">
        <v>2007</v>
      </c>
      <c r="BF4" s="3" t="s">
        <v>2008</v>
      </c>
      <c r="BH4" s="311" t="s">
        <v>503</v>
      </c>
    </row>
    <row r="5" s="311" customFormat="1" ht="33" hidden="1" customHeight="1" spans="1:60">
      <c r="A5" s="208">
        <f t="shared" si="0"/>
        <v>2</v>
      </c>
      <c r="B5" s="48" t="s">
        <v>2009</v>
      </c>
      <c r="C5" s="49" t="s">
        <v>741</v>
      </c>
      <c r="D5" s="50" t="s">
        <v>2010</v>
      </c>
      <c r="E5" s="50"/>
      <c r="F5" s="52">
        <v>45910</v>
      </c>
      <c r="G5" s="52">
        <v>45987</v>
      </c>
      <c r="H5" s="52">
        <v>45987</v>
      </c>
      <c r="I5" s="53">
        <v>45967</v>
      </c>
      <c r="J5" s="175">
        <v>100008</v>
      </c>
      <c r="K5" s="175">
        <v>36</v>
      </c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703"/>
      <c r="AB5" s="703">
        <f t="shared" ref="AB5:AJ5" si="1">$J5/$K5*4</f>
        <v>11112</v>
      </c>
      <c r="AC5" s="703">
        <f t="shared" si="1"/>
        <v>11112</v>
      </c>
      <c r="AD5" s="703">
        <f t="shared" si="1"/>
        <v>11112</v>
      </c>
      <c r="AE5" s="703">
        <f t="shared" si="1"/>
        <v>11112</v>
      </c>
      <c r="AF5" s="703">
        <f t="shared" si="1"/>
        <v>11112</v>
      </c>
      <c r="AG5" s="703">
        <f t="shared" si="1"/>
        <v>11112</v>
      </c>
      <c r="AH5" s="703">
        <f t="shared" si="1"/>
        <v>11112</v>
      </c>
      <c r="AI5" s="703">
        <f t="shared" si="1"/>
        <v>11112</v>
      </c>
      <c r="AJ5" s="703">
        <f t="shared" si="1"/>
        <v>11112</v>
      </c>
      <c r="AK5" s="703"/>
      <c r="AL5" s="703"/>
      <c r="AM5" s="703"/>
      <c r="AN5" s="703"/>
      <c r="AO5" s="703"/>
      <c r="AP5" s="703"/>
      <c r="AQ5" s="703"/>
      <c r="AR5" s="703"/>
      <c r="AS5" s="703"/>
      <c r="AT5" s="316" t="s">
        <v>340</v>
      </c>
      <c r="AU5" s="49" t="s">
        <v>81</v>
      </c>
      <c r="AV5" s="305" t="s">
        <v>1862</v>
      </c>
      <c r="AW5" s="48" t="s">
        <v>2011</v>
      </c>
      <c r="AX5" s="48" t="s">
        <v>2012</v>
      </c>
      <c r="AY5" s="316" t="s">
        <v>340</v>
      </c>
      <c r="AZ5" s="48" t="s">
        <v>2013</v>
      </c>
      <c r="BA5" s="176">
        <v>46018</v>
      </c>
      <c r="BB5" s="211">
        <v>46016</v>
      </c>
      <c r="BC5" s="317"/>
      <c r="BD5" s="317">
        <v>46032</v>
      </c>
      <c r="BE5" s="213" t="s">
        <v>2014</v>
      </c>
      <c r="BF5" s="3" t="s">
        <v>2015</v>
      </c>
      <c r="BH5" s="311" t="s">
        <v>631</v>
      </c>
    </row>
    <row r="6" s="311" customFormat="1" ht="37.5" hidden="1" customHeight="1" spans="1:60">
      <c r="A6" s="208">
        <f t="shared" si="0"/>
        <v>3</v>
      </c>
      <c r="B6" s="48" t="s">
        <v>2009</v>
      </c>
      <c r="C6" s="49" t="s">
        <v>741</v>
      </c>
      <c r="D6" s="50" t="s">
        <v>2016</v>
      </c>
      <c r="E6" s="50"/>
      <c r="F6" s="52">
        <v>45967</v>
      </c>
      <c r="G6" s="52">
        <v>46028</v>
      </c>
      <c r="H6" s="52">
        <v>46028</v>
      </c>
      <c r="I6" s="53">
        <v>45978</v>
      </c>
      <c r="J6" s="771">
        <v>100008</v>
      </c>
      <c r="K6" s="175">
        <v>36</v>
      </c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703"/>
      <c r="AB6" s="703">
        <f>$J6/$K6*4</f>
        <v>11112</v>
      </c>
      <c r="AC6" s="703">
        <f>$J6/$K6*4</f>
        <v>11112</v>
      </c>
      <c r="AD6" s="703">
        <f>$J6/$K6*4</f>
        <v>11112</v>
      </c>
      <c r="AE6" s="703">
        <f>$J6/$K6*6</f>
        <v>16668</v>
      </c>
      <c r="AF6" s="703">
        <f>$J6/$K6*3</f>
        <v>8334</v>
      </c>
      <c r="AG6" s="703">
        <f>$J6/$K6*3</f>
        <v>8334</v>
      </c>
      <c r="AH6" s="703">
        <f>$J6/$K6*4</f>
        <v>11112</v>
      </c>
      <c r="AI6" s="703">
        <f>$J6/$K6*4</f>
        <v>11112</v>
      </c>
      <c r="AJ6" s="703">
        <f>$J6/$K6*4</f>
        <v>11112</v>
      </c>
      <c r="AK6" s="703"/>
      <c r="AL6" s="703"/>
      <c r="AM6" s="703"/>
      <c r="AN6" s="703"/>
      <c r="AO6" s="703"/>
      <c r="AP6" s="703"/>
      <c r="AQ6" s="703"/>
      <c r="AR6" s="703"/>
      <c r="AS6" s="703"/>
      <c r="AT6" s="316" t="s">
        <v>809</v>
      </c>
      <c r="AU6" s="49" t="s">
        <v>81</v>
      </c>
      <c r="AV6" s="305" t="s">
        <v>2017</v>
      </c>
      <c r="AW6" s="48" t="s">
        <v>2018</v>
      </c>
      <c r="AX6" s="48" t="s">
        <v>2017</v>
      </c>
      <c r="AY6" s="316" t="s">
        <v>809</v>
      </c>
      <c r="AZ6" s="48" t="s">
        <v>2019</v>
      </c>
      <c r="BA6" s="176">
        <v>46026</v>
      </c>
      <c r="BB6" s="211">
        <v>46027</v>
      </c>
      <c r="BC6" s="211"/>
      <c r="BD6" s="211" t="s">
        <v>2020</v>
      </c>
      <c r="BE6" s="213" t="s">
        <v>2021</v>
      </c>
      <c r="BF6" s="3" t="s">
        <v>2022</v>
      </c>
    </row>
    <row r="7" s="311" customFormat="1" ht="37.5" hidden="1" customHeight="1" spans="1:60">
      <c r="A7" s="208">
        <f t="shared" si="0"/>
        <v>4</v>
      </c>
      <c r="B7" s="48" t="s">
        <v>2023</v>
      </c>
      <c r="C7" s="49" t="s">
        <v>1674</v>
      </c>
      <c r="D7" s="50" t="s">
        <v>2024</v>
      </c>
      <c r="E7" s="50"/>
      <c r="F7" s="52">
        <v>45979</v>
      </c>
      <c r="G7" s="52">
        <v>46032</v>
      </c>
      <c r="H7" s="52">
        <v>46032</v>
      </c>
      <c r="I7" s="53">
        <v>45981</v>
      </c>
      <c r="J7" s="771">
        <v>3600</v>
      </c>
      <c r="K7" s="175">
        <v>18</v>
      </c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703"/>
      <c r="AB7" s="703">
        <f t="shared" ref="AB7:AJ7" si="2">$J7/$K7*2</f>
        <v>400</v>
      </c>
      <c r="AC7" s="703">
        <f t="shared" si="2"/>
        <v>400</v>
      </c>
      <c r="AD7" s="703">
        <f t="shared" si="2"/>
        <v>400</v>
      </c>
      <c r="AE7" s="703">
        <f t="shared" si="2"/>
        <v>400</v>
      </c>
      <c r="AF7" s="703">
        <f t="shared" si="2"/>
        <v>400</v>
      </c>
      <c r="AG7" s="703">
        <f t="shared" si="2"/>
        <v>400</v>
      </c>
      <c r="AH7" s="703">
        <f t="shared" si="2"/>
        <v>400</v>
      </c>
      <c r="AI7" s="703">
        <f t="shared" si="2"/>
        <v>400</v>
      </c>
      <c r="AJ7" s="703">
        <f t="shared" si="2"/>
        <v>400</v>
      </c>
      <c r="AK7" s="703"/>
      <c r="AL7" s="703"/>
      <c r="AM7" s="703"/>
      <c r="AN7" s="703"/>
      <c r="AO7" s="703"/>
      <c r="AP7" s="703"/>
      <c r="AQ7" s="703"/>
      <c r="AR7" s="703"/>
      <c r="AS7" s="703"/>
      <c r="AT7" s="316" t="s">
        <v>809</v>
      </c>
      <c r="AU7" s="49" t="s">
        <v>81</v>
      </c>
      <c r="AV7" s="305" t="s">
        <v>2017</v>
      </c>
      <c r="AW7" s="48" t="s">
        <v>2025</v>
      </c>
      <c r="AX7" s="48" t="s">
        <v>2017</v>
      </c>
      <c r="AY7" s="316" t="s">
        <v>809</v>
      </c>
      <c r="AZ7" s="48" t="s">
        <v>2006</v>
      </c>
      <c r="BA7" s="176">
        <v>46030</v>
      </c>
      <c r="BB7" s="211">
        <v>46030</v>
      </c>
      <c r="BC7" s="211"/>
      <c r="BD7" s="317">
        <v>46039</v>
      </c>
      <c r="BE7" s="213" t="s">
        <v>2026</v>
      </c>
      <c r="BF7" s="3" t="s">
        <v>2027</v>
      </c>
    </row>
    <row r="8" s="311" customFormat="1" ht="37.5" hidden="1" customHeight="1" spans="1:60">
      <c r="A8" s="208">
        <f t="shared" si="0"/>
        <v>5</v>
      </c>
      <c r="B8" s="48" t="s">
        <v>2023</v>
      </c>
      <c r="C8" s="49" t="s">
        <v>1674</v>
      </c>
      <c r="D8" s="50" t="s">
        <v>2024</v>
      </c>
      <c r="E8" s="50"/>
      <c r="F8" s="52">
        <v>45979</v>
      </c>
      <c r="G8" s="52">
        <v>46032</v>
      </c>
      <c r="H8" s="52">
        <v>46032</v>
      </c>
      <c r="I8" s="53">
        <v>45981</v>
      </c>
      <c r="J8" s="771">
        <v>3600</v>
      </c>
      <c r="K8" s="175">
        <v>18</v>
      </c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703"/>
      <c r="AB8" s="703"/>
      <c r="AC8" s="703"/>
      <c r="AD8" s="703"/>
      <c r="AE8" s="703"/>
      <c r="AF8" s="703"/>
      <c r="AG8" s="703"/>
      <c r="AH8" s="703"/>
      <c r="AI8" s="703"/>
      <c r="AJ8" s="703"/>
      <c r="AK8" s="703"/>
      <c r="AL8" s="703">
        <f>$J8/$K8*3</f>
        <v>600</v>
      </c>
      <c r="AM8" s="703">
        <f>$J8/$K8*3</f>
        <v>600</v>
      </c>
      <c r="AN8" s="703">
        <f t="shared" ref="AN8:AS8" si="3">$J8/$K8*2</f>
        <v>400</v>
      </c>
      <c r="AO8" s="703">
        <f t="shared" si="3"/>
        <v>400</v>
      </c>
      <c r="AP8" s="703">
        <f t="shared" si="3"/>
        <v>400</v>
      </c>
      <c r="AQ8" s="703">
        <f t="shared" si="3"/>
        <v>400</v>
      </c>
      <c r="AR8" s="703">
        <f t="shared" si="3"/>
        <v>400</v>
      </c>
      <c r="AS8" s="703">
        <f t="shared" si="3"/>
        <v>400</v>
      </c>
      <c r="AT8" s="316" t="s">
        <v>809</v>
      </c>
      <c r="AU8" s="49" t="s">
        <v>81</v>
      </c>
      <c r="AV8" s="305" t="s">
        <v>2017</v>
      </c>
      <c r="AW8" s="48" t="s">
        <v>2025</v>
      </c>
      <c r="AX8" s="48" t="s">
        <v>2017</v>
      </c>
      <c r="AY8" s="316" t="s">
        <v>809</v>
      </c>
      <c r="AZ8" s="48" t="s">
        <v>2006</v>
      </c>
      <c r="BA8" s="176">
        <v>46030</v>
      </c>
      <c r="BB8" s="211">
        <v>46030</v>
      </c>
      <c r="BC8" s="211"/>
      <c r="BD8" s="317">
        <v>46039</v>
      </c>
      <c r="BE8" s="213" t="s">
        <v>2026</v>
      </c>
      <c r="BF8" s="3" t="s">
        <v>2028</v>
      </c>
    </row>
    <row r="9" s="311" customFormat="1" ht="37.5" hidden="1" customHeight="1" spans="1:60">
      <c r="A9" s="208">
        <f t="shared" si="0"/>
        <v>6</v>
      </c>
      <c r="B9" s="48" t="s">
        <v>2029</v>
      </c>
      <c r="C9" s="49" t="s">
        <v>2030</v>
      </c>
      <c r="D9" s="50" t="s">
        <v>2031</v>
      </c>
      <c r="E9" s="50"/>
      <c r="F9" s="52">
        <v>45961</v>
      </c>
      <c r="G9" s="52">
        <v>46037</v>
      </c>
      <c r="H9" s="52">
        <v>46037</v>
      </c>
      <c r="I9" s="53">
        <v>45999</v>
      </c>
      <c r="J9" s="771">
        <v>18000</v>
      </c>
      <c r="K9" s="175">
        <v>18</v>
      </c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703">
        <v>18000</v>
      </c>
      <c r="AB9" s="703"/>
      <c r="AC9" s="703"/>
      <c r="AD9" s="703"/>
      <c r="AE9" s="703"/>
      <c r="AF9" s="703"/>
      <c r="AG9" s="703"/>
      <c r="AH9" s="703"/>
      <c r="AI9" s="703"/>
      <c r="AJ9" s="703"/>
      <c r="AK9" s="703"/>
      <c r="AL9" s="703"/>
      <c r="AM9" s="703"/>
      <c r="AN9" s="703"/>
      <c r="AO9" s="703"/>
      <c r="AP9" s="703"/>
      <c r="AQ9" s="703"/>
      <c r="AR9" s="703"/>
      <c r="AS9" s="703"/>
      <c r="AT9" s="316" t="s">
        <v>809</v>
      </c>
      <c r="AU9" s="49" t="s">
        <v>81</v>
      </c>
      <c r="AV9" s="305" t="s">
        <v>2032</v>
      </c>
      <c r="AW9" s="48" t="s">
        <v>2018</v>
      </c>
      <c r="AX9" s="48" t="s">
        <v>120</v>
      </c>
      <c r="AY9" s="316" t="s">
        <v>809</v>
      </c>
      <c r="AZ9" s="48" t="s">
        <v>2006</v>
      </c>
      <c r="BA9" s="176">
        <v>46034</v>
      </c>
      <c r="BB9" s="211" t="s">
        <v>2033</v>
      </c>
      <c r="BC9" s="211"/>
      <c r="BD9" s="211">
        <v>46039</v>
      </c>
      <c r="BE9" s="213" t="s">
        <v>2034</v>
      </c>
      <c r="BF9" s="3" t="s">
        <v>2035</v>
      </c>
    </row>
    <row r="10" s="311" customFormat="1" ht="37.5" hidden="1" customHeight="1" spans="1:60">
      <c r="A10" s="208">
        <f t="shared" si="0"/>
        <v>7</v>
      </c>
      <c r="B10" s="48" t="s">
        <v>359</v>
      </c>
      <c r="C10" s="49" t="s">
        <v>2036</v>
      </c>
      <c r="D10" s="50" t="s">
        <v>2037</v>
      </c>
      <c r="E10" s="50"/>
      <c r="F10" s="52">
        <v>45981</v>
      </c>
      <c r="G10" s="52">
        <v>46036</v>
      </c>
      <c r="H10" s="52">
        <v>46036</v>
      </c>
      <c r="I10" s="53">
        <v>45981</v>
      </c>
      <c r="J10" s="771">
        <v>4014</v>
      </c>
      <c r="K10" s="175">
        <v>18</v>
      </c>
      <c r="L10" s="175"/>
      <c r="M10" s="175"/>
      <c r="N10" s="175"/>
      <c r="O10" s="175"/>
      <c r="P10" s="175"/>
      <c r="Q10" s="175"/>
      <c r="R10" s="175">
        <f>$J10/$K10*2</f>
        <v>446</v>
      </c>
      <c r="S10" s="175"/>
      <c r="T10" s="175"/>
      <c r="U10" s="175"/>
      <c r="V10" s="175"/>
      <c r="W10" s="175"/>
      <c r="X10" s="175"/>
      <c r="Y10" s="175"/>
      <c r="Z10" s="175"/>
      <c r="AA10" s="703"/>
      <c r="AB10" s="175">
        <f t="shared" ref="AB10:AG10" si="4">$J10/$K10*2</f>
        <v>446</v>
      </c>
      <c r="AC10" s="175">
        <f t="shared" si="4"/>
        <v>446</v>
      </c>
      <c r="AD10" s="175">
        <f t="shared" si="4"/>
        <v>446</v>
      </c>
      <c r="AE10" s="175">
        <f t="shared" si="4"/>
        <v>446</v>
      </c>
      <c r="AF10" s="175">
        <f t="shared" si="4"/>
        <v>446</v>
      </c>
      <c r="AG10" s="175">
        <f t="shared" si="4"/>
        <v>446</v>
      </c>
      <c r="AH10" s="703"/>
      <c r="AI10" s="175">
        <f>$J10/$K10*2</f>
        <v>446</v>
      </c>
      <c r="AJ10" s="175">
        <f>$J10/$K10*2</f>
        <v>446</v>
      </c>
      <c r="AK10" s="703"/>
      <c r="AL10" s="703"/>
      <c r="AM10" s="703"/>
      <c r="AN10" s="703"/>
      <c r="AO10" s="703"/>
      <c r="AP10" s="703"/>
      <c r="AQ10" s="703"/>
      <c r="AR10" s="703"/>
      <c r="AS10" s="703"/>
      <c r="AT10" s="624" t="s">
        <v>2038</v>
      </c>
      <c r="AU10" s="210" t="s">
        <v>104</v>
      </c>
      <c r="AV10" s="305" t="s">
        <v>2017</v>
      </c>
      <c r="AW10" s="48"/>
      <c r="AX10" s="48" t="s">
        <v>120</v>
      </c>
      <c r="AY10" s="316" t="s">
        <v>809</v>
      </c>
      <c r="AZ10" s="48" t="s">
        <v>2039</v>
      </c>
      <c r="BA10" s="176">
        <v>46034</v>
      </c>
      <c r="BB10" s="211">
        <v>46036</v>
      </c>
      <c r="BC10" s="211"/>
      <c r="BD10" s="211">
        <v>46039</v>
      </c>
      <c r="BE10" s="213" t="s">
        <v>2040</v>
      </c>
      <c r="BF10" s="3" t="s">
        <v>2041</v>
      </c>
    </row>
    <row r="11" s="311" customFormat="1" ht="37.5" hidden="1" customHeight="1" spans="1:60">
      <c r="A11" s="208">
        <f t="shared" si="0"/>
        <v>8</v>
      </c>
      <c r="B11" s="48" t="s">
        <v>2042</v>
      </c>
      <c r="C11" s="49" t="s">
        <v>101</v>
      </c>
      <c r="D11" s="50" t="s">
        <v>2043</v>
      </c>
      <c r="E11" s="50"/>
      <c r="F11" s="52">
        <v>45975</v>
      </c>
      <c r="G11" s="52">
        <v>46021</v>
      </c>
      <c r="H11" s="52">
        <v>46037</v>
      </c>
      <c r="I11" s="53">
        <v>45988</v>
      </c>
      <c r="J11" s="771">
        <v>2286</v>
      </c>
      <c r="K11" s="175">
        <v>18</v>
      </c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703"/>
      <c r="AB11" s="703"/>
      <c r="AC11" s="703"/>
      <c r="AD11" s="703"/>
      <c r="AE11" s="703"/>
      <c r="AF11" s="703"/>
      <c r="AG11" s="703"/>
      <c r="AH11" s="703"/>
      <c r="AI11" s="703"/>
      <c r="AJ11" s="703"/>
      <c r="AK11" s="703"/>
      <c r="AL11" s="703">
        <f>$J11/$K11*3</f>
        <v>381</v>
      </c>
      <c r="AM11" s="703">
        <f>$J11/$K11*3</f>
        <v>381</v>
      </c>
      <c r="AN11" s="703">
        <f t="shared" ref="AN11:AS11" si="5">$J11/$K11*2</f>
        <v>254</v>
      </c>
      <c r="AO11" s="703">
        <f t="shared" si="5"/>
        <v>254</v>
      </c>
      <c r="AP11" s="703">
        <f t="shared" si="5"/>
        <v>254</v>
      </c>
      <c r="AQ11" s="703">
        <f t="shared" si="5"/>
        <v>254</v>
      </c>
      <c r="AR11" s="703">
        <f t="shared" si="5"/>
        <v>254</v>
      </c>
      <c r="AS11" s="703">
        <f t="shared" si="5"/>
        <v>254</v>
      </c>
      <c r="AT11" s="777" t="s">
        <v>2044</v>
      </c>
      <c r="AU11" s="49" t="s">
        <v>81</v>
      </c>
      <c r="AV11" s="305" t="s">
        <v>2045</v>
      </c>
      <c r="AW11" s="48" t="s">
        <v>2025</v>
      </c>
      <c r="AX11" s="48" t="s">
        <v>120</v>
      </c>
      <c r="AY11" s="777" t="s">
        <v>2044</v>
      </c>
      <c r="AZ11" s="48" t="s">
        <v>2046</v>
      </c>
      <c r="BA11" s="176">
        <v>46035</v>
      </c>
      <c r="BB11" s="211">
        <v>46036</v>
      </c>
      <c r="BC11" s="211"/>
      <c r="BD11" s="211">
        <v>46043</v>
      </c>
      <c r="BE11" s="213" t="s">
        <v>2047</v>
      </c>
      <c r="BF11" s="3" t="s">
        <v>2028</v>
      </c>
    </row>
    <row r="12" s="311" customFormat="1" ht="37.5" hidden="1" customHeight="1" spans="1:60">
      <c r="A12" s="208">
        <f t="shared" si="0"/>
        <v>9</v>
      </c>
      <c r="B12" s="48" t="s">
        <v>2042</v>
      </c>
      <c r="C12" s="49" t="s">
        <v>101</v>
      </c>
      <c r="D12" s="50" t="s">
        <v>2048</v>
      </c>
      <c r="E12" s="50"/>
      <c r="F12" s="52">
        <v>45975</v>
      </c>
      <c r="G12" s="52">
        <v>46021</v>
      </c>
      <c r="H12" s="52">
        <v>46037</v>
      </c>
      <c r="I12" s="53">
        <v>45988</v>
      </c>
      <c r="J12" s="771">
        <v>2142</v>
      </c>
      <c r="K12" s="175">
        <v>18</v>
      </c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703"/>
      <c r="AB12" s="703"/>
      <c r="AC12" s="703"/>
      <c r="AD12" s="703"/>
      <c r="AE12" s="703"/>
      <c r="AF12" s="703"/>
      <c r="AG12" s="703"/>
      <c r="AH12" s="703"/>
      <c r="AI12" s="703"/>
      <c r="AJ12" s="703"/>
      <c r="AK12" s="703"/>
      <c r="AL12" s="703">
        <f>$J12/$K12*3</f>
        <v>357</v>
      </c>
      <c r="AM12" s="703">
        <f>$J12/$K12*3</f>
        <v>357</v>
      </c>
      <c r="AN12" s="703">
        <f t="shared" ref="AN12:AS12" si="6">$J12/$K12*2</f>
        <v>238</v>
      </c>
      <c r="AO12" s="703">
        <f t="shared" si="6"/>
        <v>238</v>
      </c>
      <c r="AP12" s="703">
        <f t="shared" si="6"/>
        <v>238</v>
      </c>
      <c r="AQ12" s="703">
        <f t="shared" si="6"/>
        <v>238</v>
      </c>
      <c r="AR12" s="703">
        <f t="shared" si="6"/>
        <v>238</v>
      </c>
      <c r="AS12" s="703">
        <f t="shared" si="6"/>
        <v>238</v>
      </c>
      <c r="AT12" s="777" t="s">
        <v>2044</v>
      </c>
      <c r="AU12" s="49" t="s">
        <v>81</v>
      </c>
      <c r="AV12" s="305" t="s">
        <v>2045</v>
      </c>
      <c r="AW12" s="48" t="s">
        <v>2025</v>
      </c>
      <c r="AX12" s="48" t="s">
        <v>120</v>
      </c>
      <c r="AY12" s="777" t="s">
        <v>2044</v>
      </c>
      <c r="AZ12" s="48" t="s">
        <v>2046</v>
      </c>
      <c r="BA12" s="176">
        <v>46035</v>
      </c>
      <c r="BB12" s="211">
        <v>46036</v>
      </c>
      <c r="BC12" s="211"/>
      <c r="BD12" s="211">
        <v>46043</v>
      </c>
      <c r="BE12" s="213" t="s">
        <v>2049</v>
      </c>
      <c r="BF12" s="3" t="s">
        <v>2028</v>
      </c>
    </row>
    <row r="13" s="311" customFormat="1" ht="37.5" hidden="1" customHeight="1" spans="1:60">
      <c r="A13" s="208">
        <f t="shared" si="0"/>
        <v>10</v>
      </c>
      <c r="B13" s="48" t="s">
        <v>2050</v>
      </c>
      <c r="C13" s="49" t="s">
        <v>2036</v>
      </c>
      <c r="D13" s="50" t="s">
        <v>2051</v>
      </c>
      <c r="E13" s="50"/>
      <c r="F13" s="52">
        <v>45901</v>
      </c>
      <c r="G13" s="52">
        <v>46037</v>
      </c>
      <c r="H13" s="52">
        <v>46037</v>
      </c>
      <c r="I13" s="53">
        <v>45910</v>
      </c>
      <c r="J13" s="771">
        <v>5004</v>
      </c>
      <c r="K13" s="175">
        <v>18</v>
      </c>
      <c r="L13" s="175"/>
      <c r="M13" s="175"/>
      <c r="N13" s="175"/>
      <c r="O13" s="175"/>
      <c r="P13" s="175"/>
      <c r="Q13" s="175"/>
      <c r="R13" s="175">
        <f>$J13/$K13*2</f>
        <v>556</v>
      </c>
      <c r="S13" s="175">
        <f>$J13/$K13*2</f>
        <v>556</v>
      </c>
      <c r="T13" s="175"/>
      <c r="U13" s="175"/>
      <c r="V13" s="175"/>
      <c r="W13" s="175"/>
      <c r="X13" s="175"/>
      <c r="Y13" s="175"/>
      <c r="Z13" s="175"/>
      <c r="AA13" s="703"/>
      <c r="AB13" s="703"/>
      <c r="AC13" s="703"/>
      <c r="AD13" s="703"/>
      <c r="AE13" s="703"/>
      <c r="AF13" s="703"/>
      <c r="AG13" s="703"/>
      <c r="AH13" s="703"/>
      <c r="AI13" s="703"/>
      <c r="AJ13" s="703"/>
      <c r="AK13" s="703"/>
      <c r="AL13" s="703"/>
      <c r="AM13" s="703"/>
      <c r="AN13" s="175">
        <f>$J13/$K13*2</f>
        <v>556</v>
      </c>
      <c r="AO13" s="175">
        <f>$J13/$K13*2</f>
        <v>556</v>
      </c>
      <c r="AP13" s="175">
        <f>$J13/$K13*2</f>
        <v>556</v>
      </c>
      <c r="AQ13" s="175">
        <f>$J13/$K13*2</f>
        <v>556</v>
      </c>
      <c r="AR13" s="175">
        <f>$J13/$K13*3</f>
        <v>834</v>
      </c>
      <c r="AS13" s="175">
        <f>$J13/$K13*3</f>
        <v>834</v>
      </c>
      <c r="AT13" s="624" t="s">
        <v>2038</v>
      </c>
      <c r="AU13" s="210" t="s">
        <v>104</v>
      </c>
      <c r="AV13" s="305" t="s">
        <v>2052</v>
      </c>
      <c r="AW13" s="48" t="s">
        <v>82</v>
      </c>
      <c r="AX13" s="48" t="s">
        <v>120</v>
      </c>
      <c r="AY13" s="316" t="s">
        <v>340</v>
      </c>
      <c r="AZ13" s="48" t="s">
        <v>2053</v>
      </c>
      <c r="BA13" s="176">
        <v>46037</v>
      </c>
      <c r="BB13" s="211">
        <v>46037</v>
      </c>
      <c r="BC13" s="317"/>
      <c r="BD13" s="211">
        <v>46039</v>
      </c>
      <c r="BE13" s="213" t="s">
        <v>2054</v>
      </c>
      <c r="BF13" s="3" t="s">
        <v>2055</v>
      </c>
      <c r="BH13" s="311" t="s">
        <v>631</v>
      </c>
    </row>
    <row r="14" s="311" customFormat="1" ht="37.5" hidden="1" customHeight="1" spans="1:60">
      <c r="A14" s="208">
        <f t="shared" si="0"/>
        <v>11</v>
      </c>
      <c r="B14" s="48" t="s">
        <v>2056</v>
      </c>
      <c r="C14" s="49" t="s">
        <v>466</v>
      </c>
      <c r="D14" s="50" t="s">
        <v>2057</v>
      </c>
      <c r="E14" s="50"/>
      <c r="F14" s="52">
        <v>45992</v>
      </c>
      <c r="G14" s="52">
        <v>46049</v>
      </c>
      <c r="H14" s="52">
        <v>46049</v>
      </c>
      <c r="I14" s="53">
        <v>46009</v>
      </c>
      <c r="J14" s="327">
        <v>1800</v>
      </c>
      <c r="K14" s="175">
        <v>36</v>
      </c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703"/>
      <c r="AB14" s="703"/>
      <c r="AC14" s="703"/>
      <c r="AD14" s="703"/>
      <c r="AE14" s="703"/>
      <c r="AF14" s="703"/>
      <c r="AG14" s="703"/>
      <c r="AH14" s="703"/>
      <c r="AI14" s="703"/>
      <c r="AJ14" s="703"/>
      <c r="AK14" s="703"/>
      <c r="AL14" s="703">
        <f t="shared" ref="AL14:AM16" si="7">$J14/$K14*6</f>
        <v>300</v>
      </c>
      <c r="AM14" s="703">
        <f t="shared" si="7"/>
        <v>300</v>
      </c>
      <c r="AN14" s="703">
        <f t="shared" ref="AN14:AS14" si="8">$J14/$K14*4</f>
        <v>200</v>
      </c>
      <c r="AO14" s="703">
        <f t="shared" si="8"/>
        <v>200</v>
      </c>
      <c r="AP14" s="703">
        <f t="shared" si="8"/>
        <v>200</v>
      </c>
      <c r="AQ14" s="703">
        <f t="shared" si="8"/>
        <v>200</v>
      </c>
      <c r="AR14" s="703">
        <f t="shared" si="8"/>
        <v>200</v>
      </c>
      <c r="AS14" s="703">
        <f t="shared" si="8"/>
        <v>200</v>
      </c>
      <c r="AT14" s="739" t="s">
        <v>116</v>
      </c>
      <c r="AU14" s="49" t="s">
        <v>81</v>
      </c>
      <c r="AV14" s="305" t="s">
        <v>214</v>
      </c>
      <c r="AW14" s="48" t="s">
        <v>2058</v>
      </c>
      <c r="AX14" s="48" t="s">
        <v>2059</v>
      </c>
      <c r="AY14" s="316" t="s">
        <v>116</v>
      </c>
      <c r="AZ14" s="48" t="s">
        <v>2060</v>
      </c>
      <c r="BA14" s="176">
        <v>46047</v>
      </c>
      <c r="BB14" s="211">
        <v>46051</v>
      </c>
      <c r="BC14" s="317"/>
      <c r="BD14" s="211">
        <v>46058</v>
      </c>
      <c r="BE14" s="213" t="s">
        <v>2061</v>
      </c>
      <c r="BF14" s="159" t="s">
        <v>2062</v>
      </c>
    </row>
    <row r="15" s="311" customFormat="1" ht="37.5" hidden="1" customHeight="1" spans="1:60">
      <c r="A15" s="208">
        <f t="shared" si="0"/>
        <v>12</v>
      </c>
      <c r="B15" s="48" t="s">
        <v>2063</v>
      </c>
      <c r="C15" s="49" t="s">
        <v>466</v>
      </c>
      <c r="D15" s="50" t="s">
        <v>2064</v>
      </c>
      <c r="E15" s="50"/>
      <c r="F15" s="52">
        <v>45992</v>
      </c>
      <c r="G15" s="52">
        <v>46049</v>
      </c>
      <c r="H15" s="52">
        <v>46049</v>
      </c>
      <c r="I15" s="53">
        <v>46009</v>
      </c>
      <c r="J15" s="327">
        <v>1440</v>
      </c>
      <c r="K15" s="175">
        <v>36</v>
      </c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703"/>
      <c r="AB15" s="703"/>
      <c r="AC15" s="703"/>
      <c r="AD15" s="703"/>
      <c r="AE15" s="703"/>
      <c r="AF15" s="703"/>
      <c r="AG15" s="703"/>
      <c r="AH15" s="703"/>
      <c r="AI15" s="703"/>
      <c r="AJ15" s="703"/>
      <c r="AK15" s="703"/>
      <c r="AL15" s="703">
        <f t="shared" si="7"/>
        <v>240</v>
      </c>
      <c r="AM15" s="703">
        <f t="shared" si="7"/>
        <v>240</v>
      </c>
      <c r="AN15" s="703">
        <f t="shared" ref="AN15:AS15" si="9">$J15/$K15*4</f>
        <v>160</v>
      </c>
      <c r="AO15" s="703">
        <f t="shared" si="9"/>
        <v>160</v>
      </c>
      <c r="AP15" s="703">
        <f t="shared" si="9"/>
        <v>160</v>
      </c>
      <c r="AQ15" s="703">
        <f t="shared" si="9"/>
        <v>160</v>
      </c>
      <c r="AR15" s="703">
        <f t="shared" si="9"/>
        <v>160</v>
      </c>
      <c r="AS15" s="703">
        <f t="shared" si="9"/>
        <v>160</v>
      </c>
      <c r="AT15" s="739" t="s">
        <v>116</v>
      </c>
      <c r="AU15" s="49" t="s">
        <v>81</v>
      </c>
      <c r="AV15" s="305" t="s">
        <v>214</v>
      </c>
      <c r="AW15" s="48" t="s">
        <v>2058</v>
      </c>
      <c r="AX15" s="48" t="s">
        <v>2059</v>
      </c>
      <c r="AY15" s="316" t="s">
        <v>116</v>
      </c>
      <c r="AZ15" s="48" t="s">
        <v>2060</v>
      </c>
      <c r="BA15" s="176">
        <v>46047</v>
      </c>
      <c r="BB15" s="211">
        <v>46051</v>
      </c>
      <c r="BC15" s="317"/>
      <c r="BD15" s="211">
        <v>46058</v>
      </c>
      <c r="BE15" s="213" t="s">
        <v>2065</v>
      </c>
      <c r="BF15" s="159" t="s">
        <v>2062</v>
      </c>
    </row>
    <row r="16" s="311" customFormat="1" ht="37.5" hidden="1" customHeight="1" spans="1:60">
      <c r="A16" s="208">
        <f t="shared" si="0"/>
        <v>13</v>
      </c>
      <c r="B16" s="48" t="s">
        <v>2066</v>
      </c>
      <c r="C16" s="49" t="s">
        <v>466</v>
      </c>
      <c r="D16" s="50" t="s">
        <v>2067</v>
      </c>
      <c r="E16" s="50"/>
      <c r="F16" s="52">
        <v>45992</v>
      </c>
      <c r="G16" s="52">
        <v>46049</v>
      </c>
      <c r="H16" s="52">
        <v>46049</v>
      </c>
      <c r="I16" s="53">
        <v>46009</v>
      </c>
      <c r="J16" s="327">
        <v>360</v>
      </c>
      <c r="K16" s="175">
        <v>36</v>
      </c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703"/>
      <c r="AB16" s="703"/>
      <c r="AC16" s="703"/>
      <c r="AD16" s="703"/>
      <c r="AE16" s="703"/>
      <c r="AF16" s="703"/>
      <c r="AG16" s="703"/>
      <c r="AH16" s="703"/>
      <c r="AI16" s="703"/>
      <c r="AJ16" s="703"/>
      <c r="AK16" s="703"/>
      <c r="AL16" s="703">
        <f t="shared" si="7"/>
        <v>60</v>
      </c>
      <c r="AM16" s="703">
        <f t="shared" si="7"/>
        <v>60</v>
      </c>
      <c r="AN16" s="703">
        <f t="shared" ref="AN16:AS16" si="10">$J16/$K16*4</f>
        <v>40</v>
      </c>
      <c r="AO16" s="703">
        <f t="shared" si="10"/>
        <v>40</v>
      </c>
      <c r="AP16" s="703">
        <f t="shared" si="10"/>
        <v>40</v>
      </c>
      <c r="AQ16" s="703">
        <f t="shared" si="10"/>
        <v>40</v>
      </c>
      <c r="AR16" s="703">
        <f t="shared" si="10"/>
        <v>40</v>
      </c>
      <c r="AS16" s="703">
        <f t="shared" si="10"/>
        <v>40</v>
      </c>
      <c r="AT16" s="739" t="s">
        <v>116</v>
      </c>
      <c r="AU16" s="49" t="s">
        <v>81</v>
      </c>
      <c r="AV16" s="305" t="s">
        <v>214</v>
      </c>
      <c r="AW16" s="48" t="s">
        <v>2058</v>
      </c>
      <c r="AX16" s="48" t="s">
        <v>2059</v>
      </c>
      <c r="AY16" s="316" t="s">
        <v>116</v>
      </c>
      <c r="AZ16" s="48" t="s">
        <v>2068</v>
      </c>
      <c r="BA16" s="176">
        <v>46047</v>
      </c>
      <c r="BB16" s="211">
        <v>46051</v>
      </c>
      <c r="BC16" s="317"/>
      <c r="BD16" s="211">
        <v>46058</v>
      </c>
      <c r="BE16" s="213" t="s">
        <v>2069</v>
      </c>
      <c r="BF16" s="159" t="s">
        <v>2062</v>
      </c>
    </row>
    <row r="17" s="311" customFormat="1" ht="37.5" hidden="1" customHeight="1" spans="1:60">
      <c r="A17" s="208">
        <f t="shared" si="0"/>
        <v>14</v>
      </c>
      <c r="B17" s="48" t="s">
        <v>2070</v>
      </c>
      <c r="C17" s="49" t="s">
        <v>466</v>
      </c>
      <c r="D17" s="50" t="s">
        <v>2071</v>
      </c>
      <c r="E17" s="50"/>
      <c r="F17" s="52">
        <v>45992</v>
      </c>
      <c r="G17" s="52">
        <v>46049</v>
      </c>
      <c r="H17" s="52">
        <v>46049</v>
      </c>
      <c r="I17" s="53">
        <v>46009</v>
      </c>
      <c r="J17" s="774">
        <v>144</v>
      </c>
      <c r="K17" s="175">
        <v>48</v>
      </c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703"/>
      <c r="AB17" s="703"/>
      <c r="AC17" s="703"/>
      <c r="AD17" s="703"/>
      <c r="AE17" s="703"/>
      <c r="AF17" s="703"/>
      <c r="AG17" s="703"/>
      <c r="AH17" s="703"/>
      <c r="AI17" s="703"/>
      <c r="AJ17" s="703"/>
      <c r="AK17" s="703"/>
      <c r="AL17" s="703">
        <f>$J17/$K17*8</f>
        <v>24</v>
      </c>
      <c r="AM17" s="703">
        <f>$J17/$K17*8</f>
        <v>24</v>
      </c>
      <c r="AN17" s="703">
        <f>$J17/$K17*6</f>
        <v>18</v>
      </c>
      <c r="AO17" s="703">
        <f>$J17/$K17*6</f>
        <v>18</v>
      </c>
      <c r="AP17" s="703">
        <f t="shared" ref="AP17:AS18" si="11">$J17/$K17*5</f>
        <v>15</v>
      </c>
      <c r="AQ17" s="703">
        <f t="shared" si="11"/>
        <v>15</v>
      </c>
      <c r="AR17" s="703">
        <f t="shared" si="11"/>
        <v>15</v>
      </c>
      <c r="AS17" s="703">
        <f t="shared" si="11"/>
        <v>15</v>
      </c>
      <c r="AT17" s="739" t="s">
        <v>116</v>
      </c>
      <c r="AU17" s="49" t="s">
        <v>81</v>
      </c>
      <c r="AV17" s="305" t="s">
        <v>214</v>
      </c>
      <c r="AW17" s="48" t="s">
        <v>2058</v>
      </c>
      <c r="AX17" s="48" t="s">
        <v>2059</v>
      </c>
      <c r="AY17" s="316" t="s">
        <v>116</v>
      </c>
      <c r="AZ17" s="48" t="s">
        <v>2072</v>
      </c>
      <c r="BA17" s="176">
        <v>46047</v>
      </c>
      <c r="BB17" s="211">
        <v>46051</v>
      </c>
      <c r="BC17" s="317"/>
      <c r="BD17" s="211">
        <v>46058</v>
      </c>
      <c r="BE17" s="213" t="s">
        <v>2073</v>
      </c>
      <c r="BF17" s="159" t="s">
        <v>2074</v>
      </c>
    </row>
    <row r="18" s="311" customFormat="1" ht="37.5" hidden="1" customHeight="1" spans="1:60">
      <c r="A18" s="208">
        <f t="shared" si="0"/>
        <v>15</v>
      </c>
      <c r="B18" s="48" t="s">
        <v>2066</v>
      </c>
      <c r="C18" s="49" t="s">
        <v>466</v>
      </c>
      <c r="D18" s="50" t="s">
        <v>2075</v>
      </c>
      <c r="E18" s="50"/>
      <c r="F18" s="52">
        <v>45992</v>
      </c>
      <c r="G18" s="52">
        <v>46049</v>
      </c>
      <c r="H18" s="52">
        <v>46049</v>
      </c>
      <c r="I18" s="53">
        <v>46009</v>
      </c>
      <c r="J18" s="774">
        <v>288</v>
      </c>
      <c r="K18" s="175">
        <v>48</v>
      </c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703"/>
      <c r="AB18" s="703"/>
      <c r="AC18" s="703"/>
      <c r="AD18" s="703"/>
      <c r="AE18" s="703"/>
      <c r="AF18" s="703"/>
      <c r="AG18" s="703"/>
      <c r="AH18" s="703"/>
      <c r="AI18" s="703"/>
      <c r="AJ18" s="703"/>
      <c r="AK18" s="703"/>
      <c r="AL18" s="703">
        <f>$J18/$K18*8</f>
        <v>48</v>
      </c>
      <c r="AM18" s="703">
        <f>$J18/$K18*8</f>
        <v>48</v>
      </c>
      <c r="AN18" s="703">
        <f>$J18/$K18*6</f>
        <v>36</v>
      </c>
      <c r="AO18" s="703">
        <f>$J18/$K18*6</f>
        <v>36</v>
      </c>
      <c r="AP18" s="703">
        <f t="shared" si="11"/>
        <v>30</v>
      </c>
      <c r="AQ18" s="703">
        <f t="shared" si="11"/>
        <v>30</v>
      </c>
      <c r="AR18" s="703">
        <f t="shared" si="11"/>
        <v>30</v>
      </c>
      <c r="AS18" s="703">
        <f t="shared" si="11"/>
        <v>30</v>
      </c>
      <c r="AT18" s="739" t="s">
        <v>116</v>
      </c>
      <c r="AU18" s="49" t="s">
        <v>81</v>
      </c>
      <c r="AV18" s="305" t="s">
        <v>214</v>
      </c>
      <c r="AW18" s="48" t="s">
        <v>2058</v>
      </c>
      <c r="AX18" s="48" t="s">
        <v>2059</v>
      </c>
      <c r="AY18" s="316" t="s">
        <v>116</v>
      </c>
      <c r="AZ18" s="48" t="s">
        <v>2072</v>
      </c>
      <c r="BA18" s="176">
        <v>46047</v>
      </c>
      <c r="BB18" s="211">
        <v>46051</v>
      </c>
      <c r="BC18" s="317"/>
      <c r="BD18" s="211">
        <v>46058</v>
      </c>
      <c r="BE18" s="213" t="s">
        <v>2076</v>
      </c>
      <c r="BF18" s="159" t="s">
        <v>2074</v>
      </c>
    </row>
    <row r="19" s="311" customFormat="1" ht="37.5" hidden="1" customHeight="1" spans="1:60">
      <c r="A19" s="208">
        <f t="shared" si="0"/>
        <v>16</v>
      </c>
      <c r="B19" s="48" t="s">
        <v>359</v>
      </c>
      <c r="C19" s="49" t="s">
        <v>360</v>
      </c>
      <c r="D19" s="50" t="s">
        <v>2077</v>
      </c>
      <c r="E19" s="50" t="s">
        <v>2078</v>
      </c>
      <c r="F19" s="52">
        <v>45993</v>
      </c>
      <c r="G19" s="52">
        <v>46059</v>
      </c>
      <c r="H19" s="52">
        <v>46059</v>
      </c>
      <c r="I19" s="53">
        <v>45993</v>
      </c>
      <c r="J19" s="327">
        <v>20016</v>
      </c>
      <c r="K19" s="175">
        <v>18</v>
      </c>
      <c r="L19" s="175"/>
      <c r="M19" s="175"/>
      <c r="N19" s="175"/>
      <c r="O19" s="175"/>
      <c r="P19" s="175"/>
      <c r="Q19" s="175"/>
      <c r="R19" s="175">
        <f>$J19/$K19*2</f>
        <v>2224</v>
      </c>
      <c r="S19" s="175"/>
      <c r="T19" s="175"/>
      <c r="U19" s="175"/>
      <c r="V19" s="175"/>
      <c r="W19" s="175"/>
      <c r="X19" s="175"/>
      <c r="Y19" s="175"/>
      <c r="Z19" s="175"/>
      <c r="AA19" s="703"/>
      <c r="AB19" s="175">
        <f t="shared" ref="AB19:AG19" si="12">$J19/$K19*2</f>
        <v>2224</v>
      </c>
      <c r="AC19" s="175">
        <f t="shared" si="12"/>
        <v>2224</v>
      </c>
      <c r="AD19" s="175">
        <f t="shared" si="12"/>
        <v>2224</v>
      </c>
      <c r="AE19" s="175">
        <f t="shared" si="12"/>
        <v>2224</v>
      </c>
      <c r="AF19" s="175">
        <f t="shared" si="12"/>
        <v>2224</v>
      </c>
      <c r="AG19" s="175">
        <f t="shared" si="12"/>
        <v>2224</v>
      </c>
      <c r="AH19" s="703"/>
      <c r="AI19" s="175">
        <f>$J19/$K19*2</f>
        <v>2224</v>
      </c>
      <c r="AJ19" s="175">
        <f>$J19/$K19*2</f>
        <v>2224</v>
      </c>
      <c r="AK19" s="703"/>
      <c r="AL19" s="703"/>
      <c r="AM19" s="703"/>
      <c r="AN19" s="703"/>
      <c r="AO19" s="703"/>
      <c r="AP19" s="703"/>
      <c r="AQ19" s="703"/>
      <c r="AR19" s="703"/>
      <c r="AS19" s="703"/>
      <c r="AT19" s="322" t="s">
        <v>2038</v>
      </c>
      <c r="AU19" s="210" t="s">
        <v>104</v>
      </c>
      <c r="AV19" s="305" t="s">
        <v>2079</v>
      </c>
      <c r="AW19" s="48" t="s">
        <v>2058</v>
      </c>
      <c r="AX19" s="48" t="s">
        <v>365</v>
      </c>
      <c r="AY19" s="316" t="s">
        <v>363</v>
      </c>
      <c r="AZ19" s="48" t="s">
        <v>2080</v>
      </c>
      <c r="BA19" s="176">
        <v>46057</v>
      </c>
      <c r="BB19" s="211">
        <v>46057</v>
      </c>
      <c r="BC19" s="317"/>
      <c r="BD19" s="211">
        <v>46059</v>
      </c>
      <c r="BE19" s="213" t="s">
        <v>2081</v>
      </c>
      <c r="BF19" s="159" t="s">
        <v>2041</v>
      </c>
    </row>
    <row r="20" s="311" customFormat="1" ht="37.5" hidden="1" customHeight="1" spans="1:60">
      <c r="A20" s="208">
        <f t="shared" si="0"/>
        <v>17</v>
      </c>
      <c r="B20" s="48" t="s">
        <v>100</v>
      </c>
      <c r="C20" s="49" t="s">
        <v>101</v>
      </c>
      <c r="D20" s="49" t="s">
        <v>2082</v>
      </c>
      <c r="E20" s="49" t="s">
        <v>2083</v>
      </c>
      <c r="F20" s="53">
        <v>45877</v>
      </c>
      <c r="G20" s="53">
        <v>45918</v>
      </c>
      <c r="H20" s="53">
        <v>46082</v>
      </c>
      <c r="I20" s="53">
        <v>45945</v>
      </c>
      <c r="J20" s="327">
        <f>SUM(L20:AJ20)</f>
        <v>4680</v>
      </c>
      <c r="K20" s="175">
        <v>18</v>
      </c>
      <c r="L20" s="175"/>
      <c r="M20" s="175"/>
      <c r="N20" s="175"/>
      <c r="O20" s="175">
        <v>2340</v>
      </c>
      <c r="P20" s="175"/>
      <c r="Q20" s="175"/>
      <c r="R20" s="175"/>
      <c r="S20" s="175"/>
      <c r="T20" s="175">
        <v>2340</v>
      </c>
      <c r="U20" s="175"/>
      <c r="V20" s="175"/>
      <c r="W20" s="175"/>
      <c r="X20" s="175"/>
      <c r="Y20" s="175"/>
      <c r="Z20" s="175"/>
      <c r="AA20" s="703"/>
      <c r="AB20" s="703"/>
      <c r="AC20" s="703"/>
      <c r="AD20" s="703"/>
      <c r="AE20" s="703"/>
      <c r="AF20" s="703"/>
      <c r="AG20" s="703"/>
      <c r="AH20" s="703"/>
      <c r="AI20" s="703"/>
      <c r="AJ20" s="703"/>
      <c r="AK20" s="703"/>
      <c r="AL20" s="703"/>
      <c r="AM20" s="703"/>
      <c r="AN20" s="703"/>
      <c r="AO20" s="703"/>
      <c r="AP20" s="703"/>
      <c r="AQ20" s="703"/>
      <c r="AR20" s="703"/>
      <c r="AS20" s="703"/>
      <c r="AT20" s="322" t="s">
        <v>2044</v>
      </c>
      <c r="AU20" s="49" t="s">
        <v>81</v>
      </c>
      <c r="AV20" s="305" t="s">
        <v>1862</v>
      </c>
      <c r="AW20" s="48" t="s">
        <v>2084</v>
      </c>
      <c r="AX20" s="48" t="s">
        <v>275</v>
      </c>
      <c r="AY20" s="624" t="s">
        <v>2044</v>
      </c>
      <c r="AZ20" s="48" t="s">
        <v>2085</v>
      </c>
      <c r="BA20" s="176">
        <v>46081</v>
      </c>
      <c r="BB20" s="211">
        <v>46058</v>
      </c>
      <c r="BC20" s="211"/>
      <c r="BD20" s="211">
        <v>46098</v>
      </c>
      <c r="BE20" s="48" t="s">
        <v>2086</v>
      </c>
      <c r="BF20" s="159" t="s">
        <v>2087</v>
      </c>
      <c r="BH20" s="311" t="s">
        <v>558</v>
      </c>
    </row>
    <row r="21" s="311" customFormat="1" ht="37.5" hidden="1" customHeight="1" spans="1:60">
      <c r="A21" s="208">
        <f t="shared" si="0"/>
        <v>18</v>
      </c>
      <c r="B21" s="48" t="s">
        <v>2009</v>
      </c>
      <c r="C21" s="49" t="s">
        <v>741</v>
      </c>
      <c r="D21" s="50" t="s">
        <v>2088</v>
      </c>
      <c r="E21" s="49" t="s">
        <v>2089</v>
      </c>
      <c r="F21" s="52">
        <v>45968</v>
      </c>
      <c r="G21" s="52">
        <v>46084</v>
      </c>
      <c r="H21" s="52">
        <v>46084</v>
      </c>
      <c r="I21" s="53">
        <v>46008</v>
      </c>
      <c r="J21" s="771">
        <v>100008</v>
      </c>
      <c r="K21" s="175">
        <v>36</v>
      </c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703"/>
      <c r="AB21" s="703"/>
      <c r="AC21" s="703"/>
      <c r="AD21" s="703"/>
      <c r="AE21" s="703"/>
      <c r="AF21" s="703"/>
      <c r="AG21" s="703"/>
      <c r="AH21" s="703"/>
      <c r="AI21" s="703"/>
      <c r="AJ21" s="703"/>
      <c r="AK21" s="703"/>
      <c r="AL21" s="703">
        <f>$J21/$K21*5</f>
        <v>13890</v>
      </c>
      <c r="AM21" s="703">
        <f>$J21/$K21*5</f>
        <v>13890</v>
      </c>
      <c r="AN21" s="703">
        <f>$J21/$K21*5</f>
        <v>13890</v>
      </c>
      <c r="AO21" s="703">
        <f>$J21/$K21*4</f>
        <v>11112</v>
      </c>
      <c r="AP21" s="703">
        <f>$J21/$K21*4</f>
        <v>11112</v>
      </c>
      <c r="AQ21" s="703">
        <f>$J21/$K21*4</f>
        <v>11112</v>
      </c>
      <c r="AR21" s="703">
        <f>$J21/$K21*4</f>
        <v>11112</v>
      </c>
      <c r="AS21" s="703">
        <f>$J21/$K21*5</f>
        <v>13890</v>
      </c>
      <c r="AT21" s="739" t="s">
        <v>116</v>
      </c>
      <c r="AU21" s="49" t="s">
        <v>81</v>
      </c>
      <c r="AV21" s="305" t="s">
        <v>214</v>
      </c>
      <c r="AW21" s="48" t="s">
        <v>2025</v>
      </c>
      <c r="AX21" s="48" t="s">
        <v>921</v>
      </c>
      <c r="AY21" s="316" t="s">
        <v>116</v>
      </c>
      <c r="AZ21" s="48" t="s">
        <v>2013</v>
      </c>
      <c r="BA21" s="176">
        <v>46082</v>
      </c>
      <c r="BB21" s="211">
        <v>46084</v>
      </c>
      <c r="BC21" s="211"/>
      <c r="BD21" s="211">
        <v>46090</v>
      </c>
      <c r="BE21" s="213" t="s">
        <v>2090</v>
      </c>
      <c r="BF21" s="3" t="s">
        <v>2091</v>
      </c>
    </row>
    <row r="22" s="311" customFormat="1" ht="37.5" hidden="1" customHeight="1" spans="1:60">
      <c r="A22" s="208">
        <f t="shared" ref="A22:A31" si="13">ROW()-3</f>
        <v>19</v>
      </c>
      <c r="B22" s="48" t="s">
        <v>2092</v>
      </c>
      <c r="C22" s="49" t="s">
        <v>2093</v>
      </c>
      <c r="D22" s="50" t="s">
        <v>2094</v>
      </c>
      <c r="E22" s="50" t="s">
        <v>2095</v>
      </c>
      <c r="F22" s="52">
        <v>46028</v>
      </c>
      <c r="G22" s="52">
        <v>46086</v>
      </c>
      <c r="H22" s="52">
        <v>46086</v>
      </c>
      <c r="I22" s="53">
        <v>46028</v>
      </c>
      <c r="J22" s="771">
        <v>1800</v>
      </c>
      <c r="K22" s="175">
        <v>18</v>
      </c>
      <c r="L22" s="175"/>
      <c r="M22" s="175"/>
      <c r="N22" s="175"/>
      <c r="O22" s="175"/>
      <c r="P22" s="175"/>
      <c r="Q22" s="175"/>
      <c r="R22" s="175">
        <v>200</v>
      </c>
      <c r="S22" s="175">
        <v>200</v>
      </c>
      <c r="T22" s="175"/>
      <c r="U22" s="175"/>
      <c r="V22" s="175"/>
      <c r="W22" s="175"/>
      <c r="X22" s="175"/>
      <c r="Y22" s="175"/>
      <c r="Z22" s="175"/>
      <c r="AA22" s="703"/>
      <c r="AB22" s="703"/>
      <c r="AC22" s="703"/>
      <c r="AD22" s="703"/>
      <c r="AE22" s="703"/>
      <c r="AF22" s="703"/>
      <c r="AG22" s="703"/>
      <c r="AH22" s="703"/>
      <c r="AI22" s="703"/>
      <c r="AJ22" s="703"/>
      <c r="AK22" s="703"/>
      <c r="AL22" s="703"/>
      <c r="AM22" s="703"/>
      <c r="AN22" s="703">
        <v>200</v>
      </c>
      <c r="AO22" s="703">
        <v>200</v>
      </c>
      <c r="AP22" s="703">
        <v>200</v>
      </c>
      <c r="AQ22" s="703">
        <v>200</v>
      </c>
      <c r="AR22" s="703">
        <v>300</v>
      </c>
      <c r="AS22" s="703">
        <v>300</v>
      </c>
      <c r="AT22" s="739" t="s">
        <v>2096</v>
      </c>
      <c r="AU22" s="210" t="s">
        <v>104</v>
      </c>
      <c r="AV22" s="305" t="s">
        <v>2097</v>
      </c>
      <c r="AW22" s="48" t="s">
        <v>2098</v>
      </c>
      <c r="AX22" s="48" t="s">
        <v>2099</v>
      </c>
      <c r="AY22" s="316" t="s">
        <v>2096</v>
      </c>
      <c r="AZ22" s="48" t="s">
        <v>2100</v>
      </c>
      <c r="BA22" s="176">
        <v>46084</v>
      </c>
      <c r="BB22" s="211">
        <v>46091</v>
      </c>
      <c r="BC22" s="317"/>
      <c r="BD22" s="211">
        <v>46102</v>
      </c>
      <c r="BE22" s="213"/>
      <c r="BF22" s="159" t="s">
        <v>2055</v>
      </c>
    </row>
    <row r="23" s="311" customFormat="1" ht="37.5" hidden="1" customHeight="1" spans="1:60">
      <c r="A23" s="208">
        <f t="shared" si="13"/>
        <v>20</v>
      </c>
      <c r="B23" s="48" t="s">
        <v>2092</v>
      </c>
      <c r="C23" s="49" t="s">
        <v>2093</v>
      </c>
      <c r="D23" s="50" t="s">
        <v>2094</v>
      </c>
      <c r="E23" s="50" t="s">
        <v>2095</v>
      </c>
      <c r="F23" s="52">
        <v>46028</v>
      </c>
      <c r="G23" s="52">
        <v>46086</v>
      </c>
      <c r="H23" s="52">
        <v>46086</v>
      </c>
      <c r="I23" s="53">
        <v>46028</v>
      </c>
      <c r="J23" s="771">
        <v>1800</v>
      </c>
      <c r="K23" s="175">
        <v>18</v>
      </c>
      <c r="L23" s="175"/>
      <c r="M23" s="175"/>
      <c r="N23" s="175"/>
      <c r="O23" s="175"/>
      <c r="P23" s="175"/>
      <c r="Q23" s="175"/>
      <c r="R23" s="175">
        <v>200</v>
      </c>
      <c r="S23" s="175"/>
      <c r="T23" s="175"/>
      <c r="U23" s="175"/>
      <c r="V23" s="175"/>
      <c r="W23" s="175"/>
      <c r="X23" s="175"/>
      <c r="Y23" s="175"/>
      <c r="Z23" s="175"/>
      <c r="AA23" s="703"/>
      <c r="AB23" s="703">
        <v>200</v>
      </c>
      <c r="AC23" s="703">
        <v>200</v>
      </c>
      <c r="AD23" s="703">
        <v>200</v>
      </c>
      <c r="AE23" s="703">
        <v>200</v>
      </c>
      <c r="AF23" s="703">
        <v>200</v>
      </c>
      <c r="AG23" s="703">
        <v>200</v>
      </c>
      <c r="AH23" s="703"/>
      <c r="AI23" s="703">
        <v>200</v>
      </c>
      <c r="AJ23" s="703">
        <v>200</v>
      </c>
      <c r="AK23" s="703"/>
      <c r="AL23" s="703"/>
      <c r="AM23" s="703"/>
      <c r="AN23" s="703"/>
      <c r="AO23" s="703"/>
      <c r="AP23" s="703"/>
      <c r="AQ23" s="703"/>
      <c r="AR23" s="703"/>
      <c r="AS23" s="703"/>
      <c r="AT23" s="739" t="s">
        <v>2096</v>
      </c>
      <c r="AU23" s="210" t="s">
        <v>104</v>
      </c>
      <c r="AV23" s="305" t="s">
        <v>2097</v>
      </c>
      <c r="AW23" s="48" t="s">
        <v>2098</v>
      </c>
      <c r="AX23" s="48" t="s">
        <v>2099</v>
      </c>
      <c r="AY23" s="316" t="s">
        <v>2096</v>
      </c>
      <c r="AZ23" s="48" t="s">
        <v>2100</v>
      </c>
      <c r="BA23" s="176">
        <v>46084</v>
      </c>
      <c r="BB23" s="211">
        <v>46091</v>
      </c>
      <c r="BC23" s="317"/>
      <c r="BD23" s="211">
        <v>46102</v>
      </c>
      <c r="BE23" s="213"/>
      <c r="BF23" s="159" t="s">
        <v>2041</v>
      </c>
    </row>
    <row r="24" s="311" customFormat="1" ht="37.5" hidden="1" customHeight="1" spans="1:60">
      <c r="A24" s="208">
        <f t="shared" si="13"/>
        <v>21</v>
      </c>
      <c r="B24" s="48" t="s">
        <v>2101</v>
      </c>
      <c r="C24" s="49" t="s">
        <v>1882</v>
      </c>
      <c r="D24" s="50" t="s">
        <v>2102</v>
      </c>
      <c r="E24" s="50" t="s">
        <v>2103</v>
      </c>
      <c r="F24" s="52">
        <v>46013</v>
      </c>
      <c r="G24" s="52">
        <v>46087</v>
      </c>
      <c r="H24" s="52">
        <v>46087</v>
      </c>
      <c r="I24" s="53">
        <v>46035</v>
      </c>
      <c r="J24" s="327">
        <v>20016</v>
      </c>
      <c r="K24" s="175">
        <v>18</v>
      </c>
      <c r="L24" s="175"/>
      <c r="M24" s="175"/>
      <c r="N24" s="175"/>
      <c r="O24" s="175"/>
      <c r="P24" s="175"/>
      <c r="Q24" s="175"/>
      <c r="R24" s="175">
        <f>$J24/$K24*2</f>
        <v>2224</v>
      </c>
      <c r="S24" s="175">
        <f>$J24/$K24*2</f>
        <v>2224</v>
      </c>
      <c r="T24" s="175"/>
      <c r="U24" s="175"/>
      <c r="V24" s="175"/>
      <c r="W24" s="175"/>
      <c r="X24" s="175"/>
      <c r="Y24" s="175"/>
      <c r="Z24" s="175"/>
      <c r="AA24" s="703"/>
      <c r="AB24" s="703"/>
      <c r="AC24" s="703"/>
      <c r="AD24" s="703"/>
      <c r="AE24" s="703"/>
      <c r="AF24" s="703"/>
      <c r="AG24" s="703"/>
      <c r="AH24" s="703"/>
      <c r="AI24" s="703"/>
      <c r="AJ24" s="703"/>
      <c r="AK24" s="703"/>
      <c r="AL24" s="703"/>
      <c r="AM24" s="703"/>
      <c r="AN24" s="175">
        <f>$J24/$K24*2</f>
        <v>2224</v>
      </c>
      <c r="AO24" s="175">
        <f>$J24/$K24*2</f>
        <v>2224</v>
      </c>
      <c r="AP24" s="175">
        <f>$J24/$K24*2</f>
        <v>2224</v>
      </c>
      <c r="AQ24" s="175">
        <f>$J24/$K24*2</f>
        <v>2224</v>
      </c>
      <c r="AR24" s="175">
        <f>$J24/$K24*3</f>
        <v>3336</v>
      </c>
      <c r="AS24" s="175">
        <f>$J24/$K24*3</f>
        <v>3336</v>
      </c>
      <c r="AT24" s="739" t="s">
        <v>116</v>
      </c>
      <c r="AU24" s="49" t="s">
        <v>81</v>
      </c>
      <c r="AV24" s="305" t="s">
        <v>214</v>
      </c>
      <c r="AW24" s="48" t="s">
        <v>2098</v>
      </c>
      <c r="AX24" s="48" t="s">
        <v>2099</v>
      </c>
      <c r="AY24" s="316" t="s">
        <v>116</v>
      </c>
      <c r="AZ24" s="48" t="s">
        <v>2104</v>
      </c>
      <c r="BA24" s="176">
        <v>46085</v>
      </c>
      <c r="BB24" s="317">
        <v>46091</v>
      </c>
      <c r="BC24" s="317"/>
      <c r="BD24" s="211">
        <v>46092</v>
      </c>
      <c r="BE24" s="213"/>
      <c r="BF24" s="159" t="s">
        <v>2055</v>
      </c>
    </row>
    <row r="25" s="311" customFormat="1" ht="37.5" hidden="1" customHeight="1" spans="1:60">
      <c r="A25" s="208">
        <f t="shared" si="13"/>
        <v>22</v>
      </c>
      <c r="B25" s="48" t="s">
        <v>2105</v>
      </c>
      <c r="C25" s="49" t="s">
        <v>741</v>
      </c>
      <c r="D25" s="51" t="s">
        <v>2106</v>
      </c>
      <c r="E25" s="50" t="s">
        <v>2107</v>
      </c>
      <c r="F25" s="52">
        <v>46008</v>
      </c>
      <c r="G25" s="52">
        <v>46095</v>
      </c>
      <c r="H25" s="52">
        <v>46095</v>
      </c>
      <c r="I25" s="53">
        <v>46021</v>
      </c>
      <c r="J25" s="327">
        <v>2880</v>
      </c>
      <c r="K25" s="175">
        <v>18</v>
      </c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703"/>
      <c r="AB25" s="703">
        <f t="shared" ref="AB25:AJ25" si="14">$J25/$K25*2</f>
        <v>320</v>
      </c>
      <c r="AC25" s="703">
        <f t="shared" si="14"/>
        <v>320</v>
      </c>
      <c r="AD25" s="703">
        <f t="shared" si="14"/>
        <v>320</v>
      </c>
      <c r="AE25" s="703">
        <f t="shared" si="14"/>
        <v>320</v>
      </c>
      <c r="AF25" s="703">
        <f t="shared" si="14"/>
        <v>320</v>
      </c>
      <c r="AG25" s="703">
        <f t="shared" si="14"/>
        <v>320</v>
      </c>
      <c r="AH25" s="703">
        <f t="shared" si="14"/>
        <v>320</v>
      </c>
      <c r="AI25" s="703">
        <f t="shared" si="14"/>
        <v>320</v>
      </c>
      <c r="AJ25" s="703">
        <f t="shared" si="14"/>
        <v>320</v>
      </c>
      <c r="AK25" s="703"/>
      <c r="AL25" s="703"/>
      <c r="AM25" s="703"/>
      <c r="AN25" s="703"/>
      <c r="AO25" s="703"/>
      <c r="AP25" s="703"/>
      <c r="AQ25" s="703"/>
      <c r="AR25" s="703"/>
      <c r="AS25" s="703"/>
      <c r="AT25" s="739" t="s">
        <v>2096</v>
      </c>
      <c r="AU25" s="49" t="s">
        <v>81</v>
      </c>
      <c r="AV25" s="305" t="s">
        <v>2097</v>
      </c>
      <c r="AW25" s="48" t="s">
        <v>2098</v>
      </c>
      <c r="AX25" s="48" t="s">
        <v>2099</v>
      </c>
      <c r="AY25" s="316" t="s">
        <v>2096</v>
      </c>
      <c r="AZ25" s="48" t="s">
        <v>2006</v>
      </c>
      <c r="BA25" s="176">
        <v>46093</v>
      </c>
      <c r="BB25" s="211">
        <v>46092</v>
      </c>
      <c r="BC25" s="317"/>
      <c r="BD25" s="211">
        <v>46106</v>
      </c>
      <c r="BE25" s="213" t="s">
        <v>2108</v>
      </c>
      <c r="BF25" s="159" t="s">
        <v>2027</v>
      </c>
    </row>
    <row r="26" s="311" customFormat="1" ht="37.5" hidden="1" customHeight="1" spans="1:60">
      <c r="A26" s="208">
        <f t="shared" si="13"/>
        <v>23</v>
      </c>
      <c r="B26" s="48" t="s">
        <v>2109</v>
      </c>
      <c r="C26" s="49" t="s">
        <v>741</v>
      </c>
      <c r="D26" s="50" t="s">
        <v>2110</v>
      </c>
      <c r="E26" s="50" t="s">
        <v>2111</v>
      </c>
      <c r="F26" s="52">
        <v>45985</v>
      </c>
      <c r="G26" s="52">
        <v>46123</v>
      </c>
      <c r="H26" s="52">
        <v>46123</v>
      </c>
      <c r="I26" s="53">
        <v>46037</v>
      </c>
      <c r="J26" s="327">
        <f>SUM(L26:AS26)</f>
        <v>14016</v>
      </c>
      <c r="K26" s="175">
        <v>48</v>
      </c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703"/>
      <c r="AB26" s="703">
        <v>7008</v>
      </c>
      <c r="AC26" s="703"/>
      <c r="AD26" s="703"/>
      <c r="AE26" s="703"/>
      <c r="AF26" s="703"/>
      <c r="AG26" s="703"/>
      <c r="AH26" s="703"/>
      <c r="AI26" s="703"/>
      <c r="AJ26" s="703"/>
      <c r="AK26" s="703">
        <v>7008</v>
      </c>
      <c r="AL26" s="703"/>
      <c r="AM26" s="703"/>
      <c r="AN26" s="703"/>
      <c r="AO26" s="703"/>
      <c r="AP26" s="703"/>
      <c r="AQ26" s="703"/>
      <c r="AR26" s="703"/>
      <c r="AS26" s="703"/>
      <c r="AT26" s="739" t="s">
        <v>2096</v>
      </c>
      <c r="AU26" s="49" t="s">
        <v>81</v>
      </c>
      <c r="AV26" s="305" t="s">
        <v>2097</v>
      </c>
      <c r="AW26" s="48" t="s">
        <v>2058</v>
      </c>
      <c r="AX26" s="48" t="s">
        <v>2112</v>
      </c>
      <c r="AY26" s="316" t="s">
        <v>2096</v>
      </c>
      <c r="AZ26" s="48" t="s">
        <v>2113</v>
      </c>
      <c r="BA26" s="176">
        <v>46123</v>
      </c>
      <c r="BB26" s="211" t="s">
        <v>2114</v>
      </c>
      <c r="BC26" s="211" t="s">
        <v>2115</v>
      </c>
      <c r="BD26" s="211">
        <v>46129</v>
      </c>
      <c r="BE26" s="213" t="s">
        <v>2116</v>
      </c>
      <c r="BF26" s="159" t="s">
        <v>2117</v>
      </c>
    </row>
    <row r="27" s="311" customFormat="1" ht="37.5" hidden="1" customHeight="1" spans="1:60">
      <c r="A27" s="215">
        <f t="shared" si="13"/>
        <v>24</v>
      </c>
      <c r="B27" s="183" t="s">
        <v>2118</v>
      </c>
      <c r="C27" s="96"/>
      <c r="D27" s="216" t="s">
        <v>2110</v>
      </c>
      <c r="E27" s="216"/>
      <c r="F27" s="217"/>
      <c r="G27" s="217"/>
      <c r="H27" s="217"/>
      <c r="I27" s="218"/>
      <c r="J27" s="294">
        <f>SUBTOTAL(9,L27:AS27)</f>
        <v>0</v>
      </c>
      <c r="K27" s="95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83"/>
      <c r="AB27" s="283">
        <v>12</v>
      </c>
      <c r="AC27" s="283"/>
      <c r="AD27" s="283"/>
      <c r="AE27" s="283"/>
      <c r="AF27" s="283"/>
      <c r="AG27" s="283"/>
      <c r="AH27" s="283"/>
      <c r="AI27" s="283"/>
      <c r="AJ27" s="283"/>
      <c r="AK27" s="283">
        <v>12</v>
      </c>
      <c r="AL27" s="283"/>
      <c r="AM27" s="283"/>
      <c r="AN27" s="283"/>
      <c r="AO27" s="283"/>
      <c r="AP27" s="283"/>
      <c r="AQ27" s="283"/>
      <c r="AR27" s="283"/>
      <c r="AS27" s="283"/>
      <c r="AT27" s="278" t="s">
        <v>2096</v>
      </c>
      <c r="AU27" s="96"/>
      <c r="AV27" s="297"/>
      <c r="AW27" s="183"/>
      <c r="AX27" s="183"/>
      <c r="AY27" s="320"/>
      <c r="AZ27" s="183"/>
      <c r="BA27" s="280">
        <v>46105</v>
      </c>
      <c r="BB27" s="279"/>
      <c r="BC27" s="321"/>
      <c r="BD27" s="279">
        <v>46105</v>
      </c>
      <c r="BE27" s="224"/>
      <c r="BF27" s="159"/>
    </row>
    <row r="28" s="311" customFormat="1" ht="37.5" hidden="1" customHeight="1" spans="1:60">
      <c r="A28" s="208">
        <f t="shared" si="13"/>
        <v>25</v>
      </c>
      <c r="B28" s="48" t="s">
        <v>1347</v>
      </c>
      <c r="C28" s="49" t="s">
        <v>741</v>
      </c>
      <c r="D28" s="50" t="s">
        <v>2119</v>
      </c>
      <c r="E28" s="50" t="s">
        <v>2120</v>
      </c>
      <c r="F28" s="52">
        <v>45988</v>
      </c>
      <c r="G28" s="52">
        <v>46137</v>
      </c>
      <c r="H28" s="52">
        <v>46137</v>
      </c>
      <c r="I28" s="53">
        <v>46057</v>
      </c>
      <c r="J28" s="327">
        <v>6012</v>
      </c>
      <c r="K28" s="175">
        <v>18</v>
      </c>
      <c r="L28" s="175">
        <f>J28/K28*3</f>
        <v>1002</v>
      </c>
      <c r="M28" s="175"/>
      <c r="N28" s="175"/>
      <c r="O28" s="175"/>
      <c r="P28" s="175"/>
      <c r="Q28" s="175"/>
      <c r="R28" s="175"/>
      <c r="S28" s="175"/>
      <c r="T28" s="175">
        <f>J28/K28*3</f>
        <v>1002</v>
      </c>
      <c r="U28" s="175">
        <f>J28/K28*2</f>
        <v>668</v>
      </c>
      <c r="V28" s="175">
        <f>J28/K28*2</f>
        <v>668</v>
      </c>
      <c r="W28" s="175">
        <f>J28/K28*2</f>
        <v>668</v>
      </c>
      <c r="X28" s="175">
        <f>J28/K28*2</f>
        <v>668</v>
      </c>
      <c r="Y28" s="175">
        <f>J28/K28*2</f>
        <v>668</v>
      </c>
      <c r="Z28" s="175">
        <f>J28/K28*2</f>
        <v>668</v>
      </c>
      <c r="AA28" s="703"/>
      <c r="AB28" s="703"/>
      <c r="AC28" s="703"/>
      <c r="AD28" s="703"/>
      <c r="AE28" s="703"/>
      <c r="AF28" s="703"/>
      <c r="AG28" s="703"/>
      <c r="AH28" s="703"/>
      <c r="AI28" s="703"/>
      <c r="AJ28" s="703"/>
      <c r="AK28" s="703"/>
      <c r="AL28" s="703"/>
      <c r="AM28" s="703"/>
      <c r="AN28" s="703"/>
      <c r="AO28" s="703"/>
      <c r="AP28" s="703"/>
      <c r="AQ28" s="703"/>
      <c r="AR28" s="703"/>
      <c r="AS28" s="703"/>
      <c r="AT28" s="739" t="s">
        <v>2096</v>
      </c>
      <c r="AU28" s="49" t="s">
        <v>81</v>
      </c>
      <c r="AV28" s="305" t="s">
        <v>2097</v>
      </c>
      <c r="AW28" s="48" t="s">
        <v>2098</v>
      </c>
      <c r="AX28" s="48" t="s">
        <v>444</v>
      </c>
      <c r="AY28" s="316" t="s">
        <v>2096</v>
      </c>
      <c r="AZ28" s="48" t="s">
        <v>2121</v>
      </c>
      <c r="BA28" s="176">
        <v>46137</v>
      </c>
      <c r="BB28" s="211">
        <v>46129</v>
      </c>
      <c r="BC28" s="317"/>
      <c r="BD28" s="211">
        <v>46188</v>
      </c>
      <c r="BE28" s="213" t="s">
        <v>2122</v>
      </c>
      <c r="BF28" s="159" t="s">
        <v>2008</v>
      </c>
    </row>
    <row r="29" s="311" customFormat="1" ht="37.5" hidden="1" customHeight="1" spans="1:60">
      <c r="A29" s="208">
        <f t="shared" si="13"/>
        <v>26</v>
      </c>
      <c r="B29" s="48" t="s">
        <v>2123</v>
      </c>
      <c r="C29" s="49" t="s">
        <v>124</v>
      </c>
      <c r="D29" s="50" t="s">
        <v>125</v>
      </c>
      <c r="E29" s="50" t="s">
        <v>126</v>
      </c>
      <c r="F29" s="52">
        <v>46041</v>
      </c>
      <c r="G29" s="52">
        <v>46142</v>
      </c>
      <c r="H29" s="52">
        <v>46142</v>
      </c>
      <c r="I29" s="53">
        <v>46108</v>
      </c>
      <c r="J29" s="327">
        <f>SUBTOTAL(9,L29:AS29)</f>
        <v>0</v>
      </c>
      <c r="K29" s="175">
        <v>18</v>
      </c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703"/>
      <c r="AB29" s="703"/>
      <c r="AC29" s="703"/>
      <c r="AD29" s="703"/>
      <c r="AE29" s="703"/>
      <c r="AF29" s="703"/>
      <c r="AG29" s="703"/>
      <c r="AH29" s="703"/>
      <c r="AI29" s="703"/>
      <c r="AJ29" s="703"/>
      <c r="AK29" s="703"/>
      <c r="AL29" s="703">
        <v>1086</v>
      </c>
      <c r="AM29" s="703">
        <v>1086</v>
      </c>
      <c r="AN29" s="703">
        <v>724</v>
      </c>
      <c r="AO29" s="703">
        <v>724</v>
      </c>
      <c r="AP29" s="703">
        <v>724</v>
      </c>
      <c r="AQ29" s="703">
        <v>724</v>
      </c>
      <c r="AR29" s="703">
        <v>724</v>
      </c>
      <c r="AS29" s="703">
        <v>724</v>
      </c>
      <c r="AT29" s="37" t="s">
        <v>127</v>
      </c>
      <c r="AU29" s="49" t="s">
        <v>81</v>
      </c>
      <c r="AV29" s="305" t="s">
        <v>2124</v>
      </c>
      <c r="AW29" s="48" t="s">
        <v>2125</v>
      </c>
      <c r="AX29" s="48" t="s">
        <v>130</v>
      </c>
      <c r="AY29" s="316" t="s">
        <v>127</v>
      </c>
      <c r="AZ29" s="48" t="s">
        <v>2126</v>
      </c>
      <c r="BA29" s="176">
        <v>46142</v>
      </c>
      <c r="BB29" s="211">
        <v>46149</v>
      </c>
      <c r="BC29" s="211"/>
      <c r="BD29" s="211">
        <v>46158</v>
      </c>
      <c r="BE29" s="213" t="s">
        <v>132</v>
      </c>
      <c r="BF29" s="159" t="s">
        <v>2028</v>
      </c>
    </row>
    <row r="30" s="311" customFormat="1" ht="37.5" hidden="1" customHeight="1" spans="1:60">
      <c r="A30" s="208">
        <f t="shared" si="13"/>
        <v>27</v>
      </c>
      <c r="B30" s="48" t="s">
        <v>100</v>
      </c>
      <c r="C30" s="49" t="s">
        <v>101</v>
      </c>
      <c r="D30" s="50" t="s">
        <v>2127</v>
      </c>
      <c r="E30" s="50" t="s">
        <v>2128</v>
      </c>
      <c r="F30" s="52">
        <v>46101</v>
      </c>
      <c r="G30" s="52">
        <v>46163</v>
      </c>
      <c r="H30" s="52">
        <v>46163</v>
      </c>
      <c r="I30" s="53">
        <v>46156</v>
      </c>
      <c r="J30" s="327">
        <f>SUBTOTAL(9,L30:AS30)</f>
        <v>0</v>
      </c>
      <c r="K30" s="175">
        <v>36</v>
      </c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703"/>
      <c r="AB30" s="703">
        <v>8316</v>
      </c>
      <c r="AC30" s="703"/>
      <c r="AD30" s="703"/>
      <c r="AE30" s="703"/>
      <c r="AF30" s="703"/>
      <c r="AG30" s="703"/>
      <c r="AH30" s="703"/>
      <c r="AI30" s="703"/>
      <c r="AJ30" s="703"/>
      <c r="AK30" s="703"/>
      <c r="AL30" s="703"/>
      <c r="AM30" s="703"/>
      <c r="AN30" s="703"/>
      <c r="AO30" s="703"/>
      <c r="AP30" s="703"/>
      <c r="AQ30" s="703">
        <v>7056</v>
      </c>
      <c r="AR30" s="703"/>
      <c r="AS30" s="703"/>
      <c r="AT30" s="322" t="s">
        <v>2129</v>
      </c>
      <c r="AU30" s="49" t="s">
        <v>81</v>
      </c>
      <c r="AV30" s="305" t="s">
        <v>2130</v>
      </c>
      <c r="AW30" s="48" t="s">
        <v>1744</v>
      </c>
      <c r="AX30" s="48" t="s">
        <v>144</v>
      </c>
      <c r="AY30" s="624" t="s">
        <v>2129</v>
      </c>
      <c r="AZ30" s="48" t="s">
        <v>2131</v>
      </c>
      <c r="BA30" s="176">
        <v>46163</v>
      </c>
      <c r="BB30" s="211" t="s">
        <v>2132</v>
      </c>
      <c r="BC30" s="211"/>
      <c r="BD30" s="211">
        <v>46181</v>
      </c>
      <c r="BE30" s="213" t="s">
        <v>2133</v>
      </c>
      <c r="BF30" s="159" t="s">
        <v>2134</v>
      </c>
    </row>
    <row r="31" s="311" customFormat="1" ht="37.5" hidden="1" customHeight="1" spans="1:60">
      <c r="A31" s="208">
        <f t="shared" si="13"/>
        <v>28</v>
      </c>
      <c r="B31" s="48" t="s">
        <v>100</v>
      </c>
      <c r="C31" s="49" t="s">
        <v>101</v>
      </c>
      <c r="D31" s="50" t="s">
        <v>2135</v>
      </c>
      <c r="E31" s="50" t="s">
        <v>2136</v>
      </c>
      <c r="F31" s="52">
        <v>46101</v>
      </c>
      <c r="G31" s="52">
        <v>46163</v>
      </c>
      <c r="H31" s="52">
        <v>46163</v>
      </c>
      <c r="I31" s="53">
        <v>46156</v>
      </c>
      <c r="J31" s="327">
        <f>SUBTOTAL(9,L31:AS31)</f>
        <v>0</v>
      </c>
      <c r="K31" s="175">
        <v>36</v>
      </c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703"/>
      <c r="AB31" s="703">
        <v>8316</v>
      </c>
      <c r="AC31" s="703"/>
      <c r="AD31" s="703"/>
      <c r="AE31" s="703"/>
      <c r="AF31" s="703"/>
      <c r="AG31" s="703"/>
      <c r="AH31" s="703"/>
      <c r="AI31" s="703"/>
      <c r="AJ31" s="703"/>
      <c r="AK31" s="703"/>
      <c r="AL31" s="703"/>
      <c r="AM31" s="703"/>
      <c r="AN31" s="703"/>
      <c r="AO31" s="703"/>
      <c r="AP31" s="703"/>
      <c r="AQ31" s="703">
        <v>7056</v>
      </c>
      <c r="AR31" s="703"/>
      <c r="AS31" s="703"/>
      <c r="AT31" s="322" t="s">
        <v>2129</v>
      </c>
      <c r="AU31" s="49" t="s">
        <v>81</v>
      </c>
      <c r="AV31" s="305" t="s">
        <v>2130</v>
      </c>
      <c r="AW31" s="48" t="s">
        <v>1744</v>
      </c>
      <c r="AX31" s="48" t="s">
        <v>144</v>
      </c>
      <c r="AY31" s="624" t="s">
        <v>2129</v>
      </c>
      <c r="AZ31" s="48" t="s">
        <v>2131</v>
      </c>
      <c r="BA31" s="176">
        <v>46163</v>
      </c>
      <c r="BB31" s="211">
        <v>46169</v>
      </c>
      <c r="BC31" s="211"/>
      <c r="BD31" s="211">
        <v>46181</v>
      </c>
      <c r="BE31" s="213" t="s">
        <v>2137</v>
      </c>
      <c r="BF31" s="159" t="s">
        <v>2134</v>
      </c>
    </row>
    <row r="32" s="311" customFormat="1" ht="37.5" hidden="1" customHeight="1" spans="1:60">
      <c r="A32" s="208">
        <f t="shared" ref="A32:A37" si="15">ROW()-3</f>
        <v>29</v>
      </c>
      <c r="B32" s="48" t="s">
        <v>100</v>
      </c>
      <c r="C32" s="49" t="s">
        <v>101</v>
      </c>
      <c r="D32" s="50" t="s">
        <v>2138</v>
      </c>
      <c r="E32" s="50" t="s">
        <v>2139</v>
      </c>
      <c r="F32" s="52">
        <v>46079</v>
      </c>
      <c r="G32" s="52">
        <v>46171</v>
      </c>
      <c r="H32" s="52">
        <v>46171</v>
      </c>
      <c r="I32" s="53">
        <v>46090</v>
      </c>
      <c r="J32" s="327">
        <f>SUBTOTAL(9,L32:AS32)</f>
        <v>0</v>
      </c>
      <c r="K32" s="175">
        <v>18</v>
      </c>
      <c r="L32" s="175"/>
      <c r="M32" s="175"/>
      <c r="N32" s="175"/>
      <c r="O32" s="175">
        <v>5922</v>
      </c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703"/>
      <c r="AB32" s="703"/>
      <c r="AC32" s="703"/>
      <c r="AD32" s="703"/>
      <c r="AE32" s="703"/>
      <c r="AF32" s="703"/>
      <c r="AG32" s="703"/>
      <c r="AH32" s="703"/>
      <c r="AI32" s="703"/>
      <c r="AJ32" s="703"/>
      <c r="AK32" s="703"/>
      <c r="AL32" s="703"/>
      <c r="AM32" s="703"/>
      <c r="AN32" s="703"/>
      <c r="AO32" s="703"/>
      <c r="AP32" s="703"/>
      <c r="AQ32" s="703"/>
      <c r="AR32" s="703"/>
      <c r="AS32" s="703"/>
      <c r="AT32" s="322" t="s">
        <v>2140</v>
      </c>
      <c r="AU32" s="49" t="s">
        <v>81</v>
      </c>
      <c r="AV32" s="305" t="s">
        <v>2124</v>
      </c>
      <c r="AW32" s="48" t="s">
        <v>2125</v>
      </c>
      <c r="AX32" s="48" t="s">
        <v>2141</v>
      </c>
      <c r="AY32" s="624" t="s">
        <v>2140</v>
      </c>
      <c r="AZ32" s="48" t="s">
        <v>2142</v>
      </c>
      <c r="BA32" s="176">
        <v>46171</v>
      </c>
      <c r="BB32" s="211">
        <v>46171</v>
      </c>
      <c r="BC32" s="211"/>
      <c r="BD32" s="211">
        <v>46198</v>
      </c>
      <c r="BE32" s="213" t="s">
        <v>2143</v>
      </c>
      <c r="BF32" s="159" t="s">
        <v>2144</v>
      </c>
    </row>
    <row r="33" s="743" customFormat="1" ht="37.5" hidden="1" customHeight="1" spans="1:58">
      <c r="A33" s="208">
        <f t="shared" si="15"/>
        <v>30</v>
      </c>
      <c r="B33" s="48" t="s">
        <v>100</v>
      </c>
      <c r="C33" s="49" t="s">
        <v>101</v>
      </c>
      <c r="D33" s="50" t="s">
        <v>2145</v>
      </c>
      <c r="E33" s="50" t="s">
        <v>2146</v>
      </c>
      <c r="F33" s="52">
        <v>46101</v>
      </c>
      <c r="G33" s="52">
        <v>46183</v>
      </c>
      <c r="H33" s="52">
        <v>46183</v>
      </c>
      <c r="I33" s="53">
        <v>46150</v>
      </c>
      <c r="J33" s="327">
        <f>SUM(L33:AS33)</f>
        <v>21960</v>
      </c>
      <c r="K33" s="175">
        <v>36</v>
      </c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703"/>
      <c r="AB33" s="703"/>
      <c r="AC33" s="703"/>
      <c r="AD33" s="703"/>
      <c r="AE33" s="703"/>
      <c r="AF33" s="703">
        <v>10980</v>
      </c>
      <c r="AG33" s="703">
        <v>10980</v>
      </c>
      <c r="AH33" s="703"/>
      <c r="AI33" s="703"/>
      <c r="AJ33" s="703"/>
      <c r="AK33" s="703"/>
      <c r="AL33" s="703"/>
      <c r="AM33" s="703"/>
      <c r="AN33" s="703"/>
      <c r="AO33" s="703"/>
      <c r="AP33" s="703"/>
      <c r="AQ33" s="703"/>
      <c r="AR33" s="703"/>
      <c r="AS33" s="703"/>
      <c r="AT33" s="624" t="s">
        <v>2147</v>
      </c>
      <c r="AU33" s="49" t="s">
        <v>81</v>
      </c>
      <c r="AV33" s="305" t="s">
        <v>2148</v>
      </c>
      <c r="AW33" s="48" t="s">
        <v>1744</v>
      </c>
      <c r="AX33" s="48" t="s">
        <v>1393</v>
      </c>
      <c r="AY33" s="624" t="s">
        <v>2147</v>
      </c>
      <c r="AZ33" s="48" t="s">
        <v>2149</v>
      </c>
      <c r="BA33" s="176">
        <v>46183</v>
      </c>
      <c r="BB33" s="317" t="s">
        <v>2150</v>
      </c>
      <c r="BC33" s="317"/>
      <c r="BD33" s="211">
        <v>46195</v>
      </c>
      <c r="BE33" s="213" t="s">
        <v>2151</v>
      </c>
      <c r="BF33" s="705" t="s">
        <v>2152</v>
      </c>
    </row>
    <row r="34" s="743" customFormat="1" ht="37.5" hidden="1" customHeight="1" spans="1:58">
      <c r="A34" s="208">
        <f t="shared" si="15"/>
        <v>31</v>
      </c>
      <c r="B34" s="48" t="s">
        <v>100</v>
      </c>
      <c r="C34" s="49" t="s">
        <v>101</v>
      </c>
      <c r="D34" s="50" t="s">
        <v>2153</v>
      </c>
      <c r="E34" s="50" t="s">
        <v>2154</v>
      </c>
      <c r="F34" s="52">
        <v>46101</v>
      </c>
      <c r="G34" s="52">
        <v>46184</v>
      </c>
      <c r="H34" s="52">
        <v>46184</v>
      </c>
      <c r="I34" s="53">
        <v>46156</v>
      </c>
      <c r="J34" s="327">
        <f>SUBTOTAL(9,L34:AS34)</f>
        <v>0</v>
      </c>
      <c r="K34" s="175">
        <v>36</v>
      </c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703"/>
      <c r="AB34" s="703"/>
      <c r="AC34" s="703"/>
      <c r="AD34" s="703">
        <v>7344</v>
      </c>
      <c r="AE34" s="703">
        <v>8028</v>
      </c>
      <c r="AF34" s="703"/>
      <c r="AG34" s="703"/>
      <c r="AH34" s="703"/>
      <c r="AI34" s="703"/>
      <c r="AJ34" s="703"/>
      <c r="AK34" s="703"/>
      <c r="AL34" s="703"/>
      <c r="AM34" s="703"/>
      <c r="AN34" s="703"/>
      <c r="AO34" s="703"/>
      <c r="AP34" s="703">
        <v>7020</v>
      </c>
      <c r="AQ34" s="703"/>
      <c r="AR34" s="703"/>
      <c r="AS34" s="703"/>
      <c r="AT34" s="624" t="s">
        <v>2147</v>
      </c>
      <c r="AU34" s="49" t="s">
        <v>81</v>
      </c>
      <c r="AV34" s="305" t="s">
        <v>2148</v>
      </c>
      <c r="AW34" s="48" t="s">
        <v>1744</v>
      </c>
      <c r="AX34" s="48" t="s">
        <v>144</v>
      </c>
      <c r="AY34" s="624" t="s">
        <v>2147</v>
      </c>
      <c r="AZ34" s="48" t="s">
        <v>2149</v>
      </c>
      <c r="BA34" s="176">
        <v>46184</v>
      </c>
      <c r="BB34" s="317" t="s">
        <v>2155</v>
      </c>
      <c r="BC34" s="317"/>
      <c r="BD34" s="211">
        <v>46195</v>
      </c>
      <c r="BE34" s="213" t="s">
        <v>2156</v>
      </c>
      <c r="BF34" s="705" t="s">
        <v>2157</v>
      </c>
    </row>
    <row r="35" s="311" customFormat="1" ht="37.5" hidden="1" customHeight="1" spans="1:58">
      <c r="A35" s="208">
        <f t="shared" si="15"/>
        <v>32</v>
      </c>
      <c r="B35" s="48" t="s">
        <v>2158</v>
      </c>
      <c r="C35" s="49" t="s">
        <v>1882</v>
      </c>
      <c r="D35" s="50" t="s">
        <v>2159</v>
      </c>
      <c r="E35" s="50" t="s">
        <v>2160</v>
      </c>
      <c r="F35" s="52">
        <v>46125</v>
      </c>
      <c r="G35" s="52">
        <v>46185</v>
      </c>
      <c r="H35" s="52">
        <v>46185</v>
      </c>
      <c r="I35" s="53">
        <v>46154</v>
      </c>
      <c r="J35" s="327">
        <f t="shared" ref="J35:J40" si="16">SUM(L35:AS35)</f>
        <v>6858</v>
      </c>
      <c r="K35" s="175">
        <v>18</v>
      </c>
      <c r="L35" s="175">
        <v>1143</v>
      </c>
      <c r="M35" s="175">
        <v>1143</v>
      </c>
      <c r="N35" s="175">
        <v>762</v>
      </c>
      <c r="O35" s="175">
        <v>762</v>
      </c>
      <c r="P35" s="175">
        <v>762</v>
      </c>
      <c r="Q35" s="175">
        <v>762</v>
      </c>
      <c r="R35" s="175">
        <v>762</v>
      </c>
      <c r="S35" s="175">
        <v>762</v>
      </c>
      <c r="T35" s="175"/>
      <c r="U35" s="175"/>
      <c r="V35" s="175"/>
      <c r="W35" s="175"/>
      <c r="X35" s="175"/>
      <c r="Y35" s="175"/>
      <c r="Z35" s="175"/>
      <c r="AA35" s="703"/>
      <c r="AB35" s="703"/>
      <c r="AC35" s="703"/>
      <c r="AD35" s="703"/>
      <c r="AE35" s="703"/>
      <c r="AF35" s="703"/>
      <c r="AG35" s="703"/>
      <c r="AH35" s="703"/>
      <c r="AI35" s="703"/>
      <c r="AJ35" s="703"/>
      <c r="AK35" s="703"/>
      <c r="AL35" s="703"/>
      <c r="AM35" s="703"/>
      <c r="AN35" s="703"/>
      <c r="AO35" s="703"/>
      <c r="AP35" s="703"/>
      <c r="AQ35" s="703"/>
      <c r="AR35" s="703"/>
      <c r="AS35" s="703"/>
      <c r="AT35" s="624" t="s">
        <v>2147</v>
      </c>
      <c r="AU35" s="49" t="s">
        <v>81</v>
      </c>
      <c r="AV35" s="305" t="s">
        <v>514</v>
      </c>
      <c r="AW35" s="48" t="s">
        <v>1744</v>
      </c>
      <c r="AX35" s="48" t="s">
        <v>155</v>
      </c>
      <c r="AY35" s="624" t="s">
        <v>2147</v>
      </c>
      <c r="AZ35" s="48" t="s">
        <v>2161</v>
      </c>
      <c r="BA35" s="176">
        <v>46185</v>
      </c>
      <c r="BB35" s="317">
        <v>46189</v>
      </c>
      <c r="BC35" s="317"/>
      <c r="BD35" s="211">
        <v>46196</v>
      </c>
      <c r="BE35" s="213" t="s">
        <v>2162</v>
      </c>
      <c r="BF35" s="159" t="s">
        <v>2163</v>
      </c>
    </row>
    <row r="36" s="311" customFormat="1" ht="37.5" hidden="1" customHeight="1" spans="1:58">
      <c r="A36" s="208">
        <f t="shared" si="15"/>
        <v>33</v>
      </c>
      <c r="B36" s="48" t="s">
        <v>2158</v>
      </c>
      <c r="C36" s="49" t="s">
        <v>1882</v>
      </c>
      <c r="D36" s="50" t="s">
        <v>2159</v>
      </c>
      <c r="E36" s="50" t="s">
        <v>2160</v>
      </c>
      <c r="F36" s="52">
        <v>46125</v>
      </c>
      <c r="G36" s="52">
        <v>46185</v>
      </c>
      <c r="H36" s="52">
        <v>46185</v>
      </c>
      <c r="I36" s="53">
        <v>46154</v>
      </c>
      <c r="J36" s="327">
        <f t="shared" si="16"/>
        <v>6858</v>
      </c>
      <c r="K36" s="175">
        <v>18</v>
      </c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703"/>
      <c r="AB36" s="703">
        <v>762</v>
      </c>
      <c r="AC36" s="703">
        <v>762</v>
      </c>
      <c r="AD36" s="703">
        <v>762</v>
      </c>
      <c r="AE36" s="703">
        <v>762</v>
      </c>
      <c r="AF36" s="703">
        <v>762</v>
      </c>
      <c r="AG36" s="703">
        <v>762</v>
      </c>
      <c r="AH36" s="703">
        <v>762</v>
      </c>
      <c r="AI36" s="703">
        <v>762</v>
      </c>
      <c r="AJ36" s="703">
        <v>762</v>
      </c>
      <c r="AK36" s="703"/>
      <c r="AL36" s="703"/>
      <c r="AM36" s="703"/>
      <c r="AN36" s="703"/>
      <c r="AO36" s="703"/>
      <c r="AP36" s="703"/>
      <c r="AQ36" s="703"/>
      <c r="AR36" s="703"/>
      <c r="AS36" s="703"/>
      <c r="AT36" s="624" t="s">
        <v>2147</v>
      </c>
      <c r="AU36" s="49" t="s">
        <v>81</v>
      </c>
      <c r="AV36" s="305" t="s">
        <v>514</v>
      </c>
      <c r="AW36" s="48" t="s">
        <v>1744</v>
      </c>
      <c r="AX36" s="48" t="s">
        <v>155</v>
      </c>
      <c r="AY36" s="624" t="s">
        <v>2147</v>
      </c>
      <c r="AZ36" s="48" t="s">
        <v>2161</v>
      </c>
      <c r="BA36" s="176">
        <v>46185</v>
      </c>
      <c r="BB36" s="317">
        <v>46189</v>
      </c>
      <c r="BC36" s="317"/>
      <c r="BD36" s="211">
        <v>46196</v>
      </c>
      <c r="BE36" s="213" t="s">
        <v>2162</v>
      </c>
      <c r="BF36" s="159" t="s">
        <v>2027</v>
      </c>
    </row>
    <row r="37" s="311" customFormat="1" ht="37.5" hidden="1" customHeight="1" spans="1:58">
      <c r="A37" s="208">
        <f t="shared" si="15"/>
        <v>34</v>
      </c>
      <c r="B37" s="48" t="s">
        <v>2158</v>
      </c>
      <c r="C37" s="49" t="s">
        <v>1882</v>
      </c>
      <c r="D37" s="50" t="s">
        <v>2159</v>
      </c>
      <c r="E37" s="50" t="s">
        <v>2160</v>
      </c>
      <c r="F37" s="52">
        <v>46125</v>
      </c>
      <c r="G37" s="52">
        <v>46185</v>
      </c>
      <c r="H37" s="52">
        <v>46185</v>
      </c>
      <c r="I37" s="53">
        <v>46154</v>
      </c>
      <c r="J37" s="327">
        <f t="shared" si="16"/>
        <v>6858</v>
      </c>
      <c r="K37" s="175">
        <v>18</v>
      </c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703"/>
      <c r="AB37" s="703"/>
      <c r="AC37" s="703"/>
      <c r="AD37" s="703"/>
      <c r="AE37" s="703"/>
      <c r="AF37" s="703"/>
      <c r="AG37" s="703"/>
      <c r="AH37" s="703"/>
      <c r="AI37" s="703"/>
      <c r="AJ37" s="703"/>
      <c r="AK37" s="703"/>
      <c r="AL37" s="703">
        <v>1143</v>
      </c>
      <c r="AM37" s="703">
        <v>1143</v>
      </c>
      <c r="AN37" s="703">
        <v>762</v>
      </c>
      <c r="AO37" s="703">
        <v>762</v>
      </c>
      <c r="AP37" s="703">
        <v>762</v>
      </c>
      <c r="AQ37" s="703">
        <v>762</v>
      </c>
      <c r="AR37" s="703">
        <v>762</v>
      </c>
      <c r="AS37" s="703">
        <v>762</v>
      </c>
      <c r="AT37" s="624" t="s">
        <v>2147</v>
      </c>
      <c r="AU37" s="49" t="s">
        <v>81</v>
      </c>
      <c r="AV37" s="305" t="s">
        <v>514</v>
      </c>
      <c r="AW37" s="48" t="s">
        <v>1744</v>
      </c>
      <c r="AX37" s="48" t="s">
        <v>155</v>
      </c>
      <c r="AY37" s="624" t="s">
        <v>2147</v>
      </c>
      <c r="AZ37" s="48" t="s">
        <v>2161</v>
      </c>
      <c r="BA37" s="176">
        <v>46185</v>
      </c>
      <c r="BB37" s="317">
        <v>46189</v>
      </c>
      <c r="BC37" s="317"/>
      <c r="BD37" s="211">
        <v>46196</v>
      </c>
      <c r="BE37" s="213" t="s">
        <v>2162</v>
      </c>
      <c r="BF37" s="159" t="s">
        <v>2028</v>
      </c>
    </row>
    <row r="38" s="311" customFormat="1" ht="37.5" hidden="1" customHeight="1" spans="1:58">
      <c r="A38" s="208">
        <f t="shared" ref="A38:A49" si="17">ROW()-3</f>
        <v>35</v>
      </c>
      <c r="B38" s="48" t="s">
        <v>2158</v>
      </c>
      <c r="C38" s="49" t="s">
        <v>1882</v>
      </c>
      <c r="D38" s="50" t="s">
        <v>2164</v>
      </c>
      <c r="E38" s="50" t="s">
        <v>2165</v>
      </c>
      <c r="F38" s="52">
        <v>46125</v>
      </c>
      <c r="G38" s="52">
        <v>46185</v>
      </c>
      <c r="H38" s="52">
        <v>46185</v>
      </c>
      <c r="I38" s="53">
        <v>46154</v>
      </c>
      <c r="J38" s="327">
        <f t="shared" si="16"/>
        <v>5868</v>
      </c>
      <c r="K38" s="175">
        <v>18</v>
      </c>
      <c r="L38" s="175">
        <v>978</v>
      </c>
      <c r="M38" s="175">
        <v>978</v>
      </c>
      <c r="N38" s="175">
        <v>652</v>
      </c>
      <c r="O38" s="175">
        <v>652</v>
      </c>
      <c r="P38" s="175">
        <v>652</v>
      </c>
      <c r="Q38" s="175">
        <v>652</v>
      </c>
      <c r="R38" s="175">
        <v>652</v>
      </c>
      <c r="S38" s="175">
        <v>652</v>
      </c>
      <c r="T38" s="175"/>
      <c r="U38" s="175"/>
      <c r="V38" s="175"/>
      <c r="W38" s="175"/>
      <c r="X38" s="175"/>
      <c r="Y38" s="175"/>
      <c r="Z38" s="175"/>
      <c r="AA38" s="703"/>
      <c r="AB38" s="703"/>
      <c r="AC38" s="703"/>
      <c r="AD38" s="703"/>
      <c r="AE38" s="703"/>
      <c r="AF38" s="703"/>
      <c r="AG38" s="703"/>
      <c r="AH38" s="703"/>
      <c r="AI38" s="703"/>
      <c r="AJ38" s="703"/>
      <c r="AK38" s="703"/>
      <c r="AL38" s="703"/>
      <c r="AM38" s="703"/>
      <c r="AN38" s="703"/>
      <c r="AO38" s="703"/>
      <c r="AP38" s="703"/>
      <c r="AQ38" s="703"/>
      <c r="AR38" s="703"/>
      <c r="AS38" s="703"/>
      <c r="AT38" s="624" t="s">
        <v>2147</v>
      </c>
      <c r="AU38" s="49" t="s">
        <v>81</v>
      </c>
      <c r="AV38" s="305" t="s">
        <v>514</v>
      </c>
      <c r="AW38" s="48" t="s">
        <v>1744</v>
      </c>
      <c r="AX38" s="48" t="s">
        <v>155</v>
      </c>
      <c r="AY38" s="624" t="s">
        <v>2147</v>
      </c>
      <c r="AZ38" s="48" t="s">
        <v>2161</v>
      </c>
      <c r="BA38" s="176">
        <v>46185</v>
      </c>
      <c r="BB38" s="317">
        <v>46189</v>
      </c>
      <c r="BC38" s="317"/>
      <c r="BD38" s="211">
        <v>46196</v>
      </c>
      <c r="BE38" s="213" t="s">
        <v>2166</v>
      </c>
      <c r="BF38" s="159" t="s">
        <v>2163</v>
      </c>
    </row>
    <row r="39" s="311" customFormat="1" ht="37.5" hidden="1" customHeight="1" spans="1:58">
      <c r="A39" s="208">
        <f t="shared" si="17"/>
        <v>36</v>
      </c>
      <c r="B39" s="48" t="s">
        <v>2158</v>
      </c>
      <c r="C39" s="49" t="s">
        <v>1882</v>
      </c>
      <c r="D39" s="50" t="s">
        <v>2164</v>
      </c>
      <c r="E39" s="50" t="s">
        <v>2165</v>
      </c>
      <c r="F39" s="52">
        <v>46125</v>
      </c>
      <c r="G39" s="52">
        <v>46185</v>
      </c>
      <c r="H39" s="52">
        <v>46185</v>
      </c>
      <c r="I39" s="53">
        <v>46154</v>
      </c>
      <c r="J39" s="327">
        <f t="shared" si="16"/>
        <v>5868</v>
      </c>
      <c r="K39" s="175">
        <v>18</v>
      </c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703"/>
      <c r="AB39" s="703">
        <v>652</v>
      </c>
      <c r="AC39" s="703">
        <v>652</v>
      </c>
      <c r="AD39" s="703">
        <v>652</v>
      </c>
      <c r="AE39" s="703">
        <v>652</v>
      </c>
      <c r="AF39" s="703">
        <v>652</v>
      </c>
      <c r="AG39" s="703">
        <v>652</v>
      </c>
      <c r="AH39" s="703">
        <v>652</v>
      </c>
      <c r="AI39" s="703">
        <v>652</v>
      </c>
      <c r="AJ39" s="703">
        <v>652</v>
      </c>
      <c r="AK39" s="703"/>
      <c r="AL39" s="703"/>
      <c r="AM39" s="703"/>
      <c r="AN39" s="703"/>
      <c r="AO39" s="703"/>
      <c r="AP39" s="703"/>
      <c r="AQ39" s="703"/>
      <c r="AR39" s="703"/>
      <c r="AS39" s="703"/>
      <c r="AT39" s="624" t="s">
        <v>2147</v>
      </c>
      <c r="AU39" s="49" t="s">
        <v>81</v>
      </c>
      <c r="AV39" s="305" t="s">
        <v>514</v>
      </c>
      <c r="AW39" s="48" t="s">
        <v>1744</v>
      </c>
      <c r="AX39" s="48" t="s">
        <v>155</v>
      </c>
      <c r="AY39" s="624" t="s">
        <v>2147</v>
      </c>
      <c r="AZ39" s="48" t="s">
        <v>2161</v>
      </c>
      <c r="BA39" s="176">
        <v>46185</v>
      </c>
      <c r="BB39" s="317">
        <v>46189</v>
      </c>
      <c r="BC39" s="317"/>
      <c r="BD39" s="211">
        <v>46196</v>
      </c>
      <c r="BE39" s="213" t="s">
        <v>2166</v>
      </c>
      <c r="BF39" s="159" t="s">
        <v>2027</v>
      </c>
    </row>
    <row r="40" s="311" customFormat="1" ht="37.5" hidden="1" customHeight="1" spans="1:58">
      <c r="A40" s="208">
        <f t="shared" si="17"/>
        <v>37</v>
      </c>
      <c r="B40" s="48" t="s">
        <v>2158</v>
      </c>
      <c r="C40" s="49" t="s">
        <v>1882</v>
      </c>
      <c r="D40" s="50" t="s">
        <v>2164</v>
      </c>
      <c r="E40" s="50" t="s">
        <v>2165</v>
      </c>
      <c r="F40" s="52">
        <v>46125</v>
      </c>
      <c r="G40" s="52">
        <v>46185</v>
      </c>
      <c r="H40" s="52">
        <v>46185</v>
      </c>
      <c r="I40" s="53">
        <v>46154</v>
      </c>
      <c r="J40" s="327">
        <f t="shared" si="16"/>
        <v>5868</v>
      </c>
      <c r="K40" s="175">
        <v>18</v>
      </c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703"/>
      <c r="AB40" s="706"/>
      <c r="AC40" s="706"/>
      <c r="AD40" s="706"/>
      <c r="AE40" s="706"/>
      <c r="AF40" s="706"/>
      <c r="AG40" s="706"/>
      <c r="AH40" s="706"/>
      <c r="AI40" s="706"/>
      <c r="AJ40" s="706"/>
      <c r="AK40" s="175"/>
      <c r="AL40" s="175">
        <v>978</v>
      </c>
      <c r="AM40" s="703">
        <v>978</v>
      </c>
      <c r="AN40" s="703">
        <v>652</v>
      </c>
      <c r="AO40" s="703">
        <v>652</v>
      </c>
      <c r="AP40" s="703">
        <v>652</v>
      </c>
      <c r="AQ40" s="703">
        <v>652</v>
      </c>
      <c r="AR40" s="703">
        <v>652</v>
      </c>
      <c r="AS40" s="703">
        <v>652</v>
      </c>
      <c r="AT40" s="624" t="s">
        <v>2147</v>
      </c>
      <c r="AU40" s="49" t="s">
        <v>81</v>
      </c>
      <c r="AV40" s="305" t="s">
        <v>514</v>
      </c>
      <c r="AW40" s="48" t="s">
        <v>1744</v>
      </c>
      <c r="AX40" s="48" t="s">
        <v>155</v>
      </c>
      <c r="AY40" s="624" t="s">
        <v>2147</v>
      </c>
      <c r="AZ40" s="48" t="s">
        <v>2161</v>
      </c>
      <c r="BA40" s="176">
        <v>46185</v>
      </c>
      <c r="BB40" s="317">
        <v>46189</v>
      </c>
      <c r="BC40" s="317"/>
      <c r="BD40" s="211">
        <v>46196</v>
      </c>
      <c r="BE40" s="213" t="s">
        <v>2166</v>
      </c>
      <c r="BF40" s="159" t="s">
        <v>2028</v>
      </c>
    </row>
    <row r="41" s="311" customFormat="1" ht="37.5" hidden="1" customHeight="1" spans="1:58">
      <c r="A41" s="208">
        <f t="shared" si="17"/>
        <v>38</v>
      </c>
      <c r="B41" s="48" t="s">
        <v>2167</v>
      </c>
      <c r="C41" s="49" t="s">
        <v>1882</v>
      </c>
      <c r="D41" s="50" t="s">
        <v>2168</v>
      </c>
      <c r="E41" s="50" t="s">
        <v>2169</v>
      </c>
      <c r="F41" s="52">
        <v>46114</v>
      </c>
      <c r="G41" s="52">
        <v>46198</v>
      </c>
      <c r="H41" s="52">
        <v>46198</v>
      </c>
      <c r="I41" s="53">
        <v>46161</v>
      </c>
      <c r="J41" s="327">
        <f>SUBTOTAL(9,L41:AS41)</f>
        <v>0</v>
      </c>
      <c r="K41" s="175">
        <v>18</v>
      </c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703"/>
      <c r="AB41" s="316">
        <v>1112</v>
      </c>
      <c r="AC41" s="316">
        <v>1112</v>
      </c>
      <c r="AD41" s="316">
        <v>1112</v>
      </c>
      <c r="AE41" s="316">
        <v>1112</v>
      </c>
      <c r="AF41" s="316">
        <v>1112</v>
      </c>
      <c r="AG41" s="316">
        <v>1112</v>
      </c>
      <c r="AH41" s="316">
        <v>1112</v>
      </c>
      <c r="AI41" s="316">
        <v>1112</v>
      </c>
      <c r="AJ41" s="316">
        <v>1112</v>
      </c>
      <c r="AK41" s="703"/>
      <c r="AL41" s="703"/>
      <c r="AM41" s="703"/>
      <c r="AN41" s="703"/>
      <c r="AO41" s="703"/>
      <c r="AP41" s="703"/>
      <c r="AQ41" s="703"/>
      <c r="AR41" s="703"/>
      <c r="AS41" s="703"/>
      <c r="AT41" s="624" t="s">
        <v>2147</v>
      </c>
      <c r="AU41" s="49" t="s">
        <v>81</v>
      </c>
      <c r="AV41" s="305" t="s">
        <v>1393</v>
      </c>
      <c r="AW41" s="48" t="s">
        <v>1876</v>
      </c>
      <c r="AX41" s="48" t="s">
        <v>2170</v>
      </c>
      <c r="AY41" s="624" t="s">
        <v>2147</v>
      </c>
      <c r="AZ41" s="48" t="s">
        <v>2161</v>
      </c>
      <c r="BA41" s="176">
        <v>46198</v>
      </c>
      <c r="BB41" s="317">
        <v>46197</v>
      </c>
      <c r="BC41" s="317"/>
      <c r="BD41" s="211">
        <v>46230</v>
      </c>
      <c r="BE41" s="213" t="s">
        <v>2171</v>
      </c>
      <c r="BF41" s="159" t="s">
        <v>2027</v>
      </c>
    </row>
    <row r="42" s="311" customFormat="1" ht="37.5" hidden="1" customHeight="1" spans="1:58">
      <c r="A42" s="208">
        <f t="shared" si="17"/>
        <v>39</v>
      </c>
      <c r="B42" s="48" t="s">
        <v>100</v>
      </c>
      <c r="C42" s="49" t="s">
        <v>101</v>
      </c>
      <c r="D42" s="50" t="s">
        <v>2172</v>
      </c>
      <c r="E42" s="50" t="s">
        <v>2173</v>
      </c>
      <c r="F42" s="52">
        <v>46101</v>
      </c>
      <c r="G42" s="52">
        <v>46210</v>
      </c>
      <c r="H42" s="52">
        <v>46210</v>
      </c>
      <c r="I42" s="53">
        <v>46157</v>
      </c>
      <c r="J42" s="327">
        <f t="shared" ref="J42:J48" si="18">SUBTOTAL(9,L42:AS42)</f>
        <v>0</v>
      </c>
      <c r="K42" s="175">
        <v>36</v>
      </c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703"/>
      <c r="AB42" s="703"/>
      <c r="AC42" s="703"/>
      <c r="AD42" s="703">
        <v>5508</v>
      </c>
      <c r="AE42" s="703">
        <v>6012</v>
      </c>
      <c r="AF42" s="703"/>
      <c r="AG42" s="703"/>
      <c r="AH42" s="703"/>
      <c r="AI42" s="703"/>
      <c r="AJ42" s="703"/>
      <c r="AK42" s="703"/>
      <c r="AL42" s="703"/>
      <c r="AM42" s="703"/>
      <c r="AN42" s="703"/>
      <c r="AO42" s="703"/>
      <c r="AP42" s="703">
        <v>5004</v>
      </c>
      <c r="AQ42" s="703"/>
      <c r="AR42" s="703"/>
      <c r="AS42" s="703"/>
      <c r="AT42" s="624" t="s">
        <v>1874</v>
      </c>
      <c r="AU42" s="49" t="s">
        <v>81</v>
      </c>
      <c r="AV42" s="305" t="s">
        <v>2174</v>
      </c>
      <c r="AW42" s="48" t="s">
        <v>1876</v>
      </c>
      <c r="AX42" s="48" t="s">
        <v>933</v>
      </c>
      <c r="AY42" s="624" t="s">
        <v>1874</v>
      </c>
      <c r="AZ42" s="48" t="s">
        <v>2175</v>
      </c>
      <c r="BA42" s="176">
        <v>46210</v>
      </c>
      <c r="BB42" s="317">
        <v>46212</v>
      </c>
      <c r="BC42" s="317"/>
      <c r="BD42" s="211">
        <v>46228</v>
      </c>
      <c r="BE42" s="213" t="s">
        <v>2176</v>
      </c>
      <c r="BF42" s="159" t="s">
        <v>2157</v>
      </c>
    </row>
    <row r="43" s="311" customFormat="1" ht="37.5" hidden="1" customHeight="1" spans="1:58">
      <c r="A43" s="208">
        <f t="shared" si="17"/>
        <v>40</v>
      </c>
      <c r="B43" s="48" t="s">
        <v>100</v>
      </c>
      <c r="C43" s="49" t="s">
        <v>101</v>
      </c>
      <c r="D43" s="50" t="s">
        <v>2177</v>
      </c>
      <c r="E43" s="50" t="s">
        <v>2178</v>
      </c>
      <c r="F43" s="52">
        <v>46101</v>
      </c>
      <c r="G43" s="52">
        <v>46219</v>
      </c>
      <c r="H43" s="52">
        <v>46219</v>
      </c>
      <c r="I43" s="53">
        <v>46157</v>
      </c>
      <c r="J43" s="327">
        <f t="shared" si="18"/>
        <v>0</v>
      </c>
      <c r="K43" s="175">
        <v>36</v>
      </c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703"/>
      <c r="AB43" s="703">
        <v>8316</v>
      </c>
      <c r="AC43" s="703"/>
      <c r="AD43" s="703"/>
      <c r="AE43" s="703"/>
      <c r="AF43" s="703"/>
      <c r="AG43" s="703"/>
      <c r="AH43" s="703"/>
      <c r="AI43" s="703"/>
      <c r="AJ43" s="703"/>
      <c r="AK43" s="703"/>
      <c r="AL43" s="703"/>
      <c r="AM43" s="703"/>
      <c r="AN43" s="703"/>
      <c r="AO43" s="703"/>
      <c r="AP43" s="703"/>
      <c r="AQ43" s="703">
        <v>7056</v>
      </c>
      <c r="AR43" s="703"/>
      <c r="AS43" s="703"/>
      <c r="AT43" s="624" t="s">
        <v>1874</v>
      </c>
      <c r="AU43" s="49" t="s">
        <v>81</v>
      </c>
      <c r="AV43" s="305" t="s">
        <v>2174</v>
      </c>
      <c r="AW43" s="48" t="s">
        <v>1876</v>
      </c>
      <c r="AX43" s="48" t="s">
        <v>933</v>
      </c>
      <c r="AY43" s="624" t="s">
        <v>1874</v>
      </c>
      <c r="AZ43" s="48" t="s">
        <v>2175</v>
      </c>
      <c r="BA43" s="176">
        <v>46219</v>
      </c>
      <c r="BB43" s="211">
        <v>46218</v>
      </c>
      <c r="BC43" s="317"/>
      <c r="BD43" s="211">
        <v>46225</v>
      </c>
      <c r="BE43" s="213" t="s">
        <v>2179</v>
      </c>
      <c r="BF43" s="159" t="s">
        <v>2134</v>
      </c>
    </row>
    <row r="44" s="311" customFormat="1" ht="37.5" hidden="1" customHeight="1" spans="1:58">
      <c r="A44" s="208">
        <f t="shared" si="17"/>
        <v>41</v>
      </c>
      <c r="B44" s="48" t="s">
        <v>100</v>
      </c>
      <c r="C44" s="49" t="s">
        <v>101</v>
      </c>
      <c r="D44" s="50" t="s">
        <v>2180</v>
      </c>
      <c r="E44" s="50" t="s">
        <v>2181</v>
      </c>
      <c r="F44" s="52">
        <v>46079</v>
      </c>
      <c r="G44" s="52">
        <v>46231</v>
      </c>
      <c r="H44" s="52">
        <v>46231</v>
      </c>
      <c r="I44" s="53">
        <v>46090</v>
      </c>
      <c r="J44" s="327">
        <f t="shared" si="18"/>
        <v>0</v>
      </c>
      <c r="K44" s="175">
        <v>18</v>
      </c>
      <c r="L44" s="175"/>
      <c r="M44" s="175"/>
      <c r="N44" s="175"/>
      <c r="O44" s="175">
        <v>5922</v>
      </c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703"/>
      <c r="AB44" s="703"/>
      <c r="AC44" s="703"/>
      <c r="AD44" s="703"/>
      <c r="AE44" s="703"/>
      <c r="AF44" s="703"/>
      <c r="AG44" s="703"/>
      <c r="AH44" s="703"/>
      <c r="AI44" s="703"/>
      <c r="AJ44" s="703"/>
      <c r="AK44" s="703"/>
      <c r="AL44" s="703"/>
      <c r="AM44" s="703"/>
      <c r="AN44" s="703"/>
      <c r="AO44" s="703"/>
      <c r="AP44" s="703"/>
      <c r="AQ44" s="703"/>
      <c r="AR44" s="703"/>
      <c r="AS44" s="703"/>
      <c r="AT44" s="624" t="s">
        <v>2182</v>
      </c>
      <c r="AU44" s="49" t="s">
        <v>81</v>
      </c>
      <c r="AV44" s="305" t="s">
        <v>2124</v>
      </c>
      <c r="AW44" s="48" t="s">
        <v>2125</v>
      </c>
      <c r="AX44" s="48" t="s">
        <v>582</v>
      </c>
      <c r="AY44" s="624" t="s">
        <v>2182</v>
      </c>
      <c r="AZ44" s="48" t="s">
        <v>2183</v>
      </c>
      <c r="BA44" s="176">
        <v>46231</v>
      </c>
      <c r="BB44" s="318">
        <v>46239</v>
      </c>
      <c r="BC44" s="211" t="s">
        <v>2184</v>
      </c>
      <c r="BD44" s="211">
        <v>46248</v>
      </c>
      <c r="BE44" s="213" t="s">
        <v>2185</v>
      </c>
      <c r="BF44" s="159" t="s">
        <v>2144</v>
      </c>
    </row>
    <row r="45" s="311" customFormat="1" ht="37.5" hidden="1" customHeight="1" spans="1:58">
      <c r="A45" s="208">
        <f t="shared" si="17"/>
        <v>42</v>
      </c>
      <c r="B45" s="48" t="s">
        <v>100</v>
      </c>
      <c r="C45" s="49" t="s">
        <v>101</v>
      </c>
      <c r="D45" s="50" t="s">
        <v>2186</v>
      </c>
      <c r="E45" s="50" t="s">
        <v>2187</v>
      </c>
      <c r="F45" s="52">
        <v>46101</v>
      </c>
      <c r="G45" s="52">
        <v>46244</v>
      </c>
      <c r="H45" s="52">
        <v>46244</v>
      </c>
      <c r="I45" s="53">
        <v>46150</v>
      </c>
      <c r="J45" s="327">
        <f t="shared" si="18"/>
        <v>0</v>
      </c>
      <c r="K45" s="175">
        <v>36</v>
      </c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703"/>
      <c r="AB45" s="703"/>
      <c r="AC45" s="703"/>
      <c r="AD45" s="703"/>
      <c r="AE45" s="703"/>
      <c r="AF45" s="703">
        <v>10980</v>
      </c>
      <c r="AG45" s="703">
        <v>10980</v>
      </c>
      <c r="AH45" s="703"/>
      <c r="AI45" s="703"/>
      <c r="AJ45" s="703"/>
      <c r="AK45" s="703"/>
      <c r="AL45" s="703"/>
      <c r="AM45" s="703"/>
      <c r="AN45" s="703"/>
      <c r="AO45" s="703"/>
      <c r="AP45" s="703"/>
      <c r="AQ45" s="703"/>
      <c r="AR45" s="703"/>
      <c r="AS45" s="703"/>
      <c r="AT45" s="624" t="s">
        <v>2188</v>
      </c>
      <c r="AU45" s="49" t="s">
        <v>81</v>
      </c>
      <c r="AV45" s="305" t="s">
        <v>2189</v>
      </c>
      <c r="AW45" s="48" t="s">
        <v>1602</v>
      </c>
      <c r="AX45" s="48" t="s">
        <v>1206</v>
      </c>
      <c r="AY45" s="624" t="s">
        <v>2188</v>
      </c>
      <c r="AZ45" s="48" t="s">
        <v>2175</v>
      </c>
      <c r="BA45" s="176">
        <v>46244</v>
      </c>
      <c r="BB45" s="211">
        <v>46248</v>
      </c>
      <c r="BC45" s="211"/>
      <c r="BD45" s="211">
        <v>46263</v>
      </c>
      <c r="BE45" s="213" t="s">
        <v>2190</v>
      </c>
      <c r="BF45" s="159" t="s">
        <v>2152</v>
      </c>
    </row>
    <row r="46" s="311" customFormat="1" ht="37.5" hidden="1" customHeight="1" spans="1:58">
      <c r="A46" s="208">
        <f t="shared" si="17"/>
        <v>43</v>
      </c>
      <c r="B46" s="48" t="s">
        <v>100</v>
      </c>
      <c r="C46" s="49" t="s">
        <v>101</v>
      </c>
      <c r="D46" s="50" t="s">
        <v>2191</v>
      </c>
      <c r="E46" s="50" t="s">
        <v>2192</v>
      </c>
      <c r="F46" s="52">
        <v>46101</v>
      </c>
      <c r="G46" s="52">
        <v>46245</v>
      </c>
      <c r="H46" s="52">
        <v>46245</v>
      </c>
      <c r="I46" s="53">
        <v>46157</v>
      </c>
      <c r="J46" s="327">
        <f t="shared" si="18"/>
        <v>0</v>
      </c>
      <c r="K46" s="175">
        <v>36</v>
      </c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703"/>
      <c r="AB46" s="703"/>
      <c r="AC46" s="703"/>
      <c r="AD46" s="703">
        <v>7344</v>
      </c>
      <c r="AE46" s="703">
        <v>8028</v>
      </c>
      <c r="AF46" s="703"/>
      <c r="AG46" s="703"/>
      <c r="AH46" s="703"/>
      <c r="AI46" s="703"/>
      <c r="AJ46" s="703"/>
      <c r="AK46" s="703"/>
      <c r="AL46" s="703"/>
      <c r="AM46" s="703"/>
      <c r="AN46" s="703"/>
      <c r="AO46" s="703"/>
      <c r="AP46" s="703">
        <v>7020</v>
      </c>
      <c r="AQ46" s="703"/>
      <c r="AR46" s="703"/>
      <c r="AS46" s="703"/>
      <c r="AT46" s="624" t="s">
        <v>2188</v>
      </c>
      <c r="AU46" s="49" t="s">
        <v>81</v>
      </c>
      <c r="AV46" s="305" t="s">
        <v>2189</v>
      </c>
      <c r="AW46" s="48" t="s">
        <v>1602</v>
      </c>
      <c r="AX46" s="48" t="s">
        <v>582</v>
      </c>
      <c r="AY46" s="624" t="s">
        <v>2188</v>
      </c>
      <c r="AZ46" s="48" t="s">
        <v>2175</v>
      </c>
      <c r="BA46" s="176">
        <v>46245</v>
      </c>
      <c r="BB46" s="211">
        <v>46254</v>
      </c>
      <c r="BC46" s="211"/>
      <c r="BD46" s="211">
        <v>46263</v>
      </c>
      <c r="BE46" s="213" t="s">
        <v>2193</v>
      </c>
      <c r="BF46" s="159" t="s">
        <v>2157</v>
      </c>
    </row>
    <row r="47" s="311" customFormat="1" ht="37.5" customHeight="1" spans="1:58">
      <c r="A47" s="208">
        <f t="shared" si="17"/>
        <v>44</v>
      </c>
      <c r="B47" s="48" t="s">
        <v>100</v>
      </c>
      <c r="C47" s="49" t="s">
        <v>101</v>
      </c>
      <c r="D47" s="50" t="s">
        <v>2194</v>
      </c>
      <c r="E47" s="50" t="s">
        <v>2195</v>
      </c>
      <c r="F47" s="52">
        <v>46101</v>
      </c>
      <c r="G47" s="52">
        <v>46269</v>
      </c>
      <c r="H47" s="52">
        <v>46269</v>
      </c>
      <c r="I47" s="53">
        <v>46157</v>
      </c>
      <c r="J47" s="327">
        <f t="shared" si="18"/>
        <v>16524</v>
      </c>
      <c r="K47" s="175">
        <v>36</v>
      </c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  <c r="AA47" s="703"/>
      <c r="AB47" s="703"/>
      <c r="AC47" s="703"/>
      <c r="AD47" s="703">
        <v>5508</v>
      </c>
      <c r="AE47" s="703">
        <v>6012</v>
      </c>
      <c r="AF47" s="703"/>
      <c r="AG47" s="703"/>
      <c r="AH47" s="703"/>
      <c r="AI47" s="703"/>
      <c r="AJ47" s="703"/>
      <c r="AK47" s="703"/>
      <c r="AL47" s="703"/>
      <c r="AM47" s="703"/>
      <c r="AN47" s="703"/>
      <c r="AO47" s="703"/>
      <c r="AP47" s="703">
        <v>5004</v>
      </c>
      <c r="AQ47" s="703"/>
      <c r="AR47" s="703"/>
      <c r="AS47" s="703"/>
      <c r="AT47" s="316" t="s">
        <v>1444</v>
      </c>
      <c r="AU47" s="49" t="s">
        <v>81</v>
      </c>
      <c r="AV47" s="305" t="s">
        <v>2196</v>
      </c>
      <c r="AW47" s="48" t="s">
        <v>2197</v>
      </c>
      <c r="AX47" s="48" t="s">
        <v>2198</v>
      </c>
      <c r="AY47" s="316" t="s">
        <v>1444</v>
      </c>
      <c r="AZ47" s="48" t="s">
        <v>2175</v>
      </c>
      <c r="BA47" s="176">
        <v>46269</v>
      </c>
      <c r="BB47" s="211">
        <v>46274</v>
      </c>
      <c r="BC47" s="317"/>
      <c r="BD47" s="211"/>
      <c r="BE47" s="213" t="s">
        <v>2199</v>
      </c>
      <c r="BF47" s="159" t="s">
        <v>2157</v>
      </c>
    </row>
    <row r="48" s="311" customFormat="1" ht="33" customHeight="1" spans="1:58">
      <c r="A48" s="215">
        <f t="shared" si="17"/>
        <v>45</v>
      </c>
      <c r="B48" s="183" t="s">
        <v>2200</v>
      </c>
      <c r="C48" s="96" t="s">
        <v>466</v>
      </c>
      <c r="D48" s="216" t="s">
        <v>2201</v>
      </c>
      <c r="E48" s="216" t="s">
        <v>2202</v>
      </c>
      <c r="F48" s="217">
        <v>46140</v>
      </c>
      <c r="G48" s="217">
        <v>46281</v>
      </c>
      <c r="H48" s="217">
        <v>46281</v>
      </c>
      <c r="I48" s="218">
        <v>46206</v>
      </c>
      <c r="J48" s="294">
        <f t="shared" si="18"/>
        <v>4428</v>
      </c>
      <c r="K48" s="95">
        <v>36</v>
      </c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83"/>
      <c r="AB48" s="283"/>
      <c r="AC48" s="283"/>
      <c r="AD48" s="283"/>
      <c r="AE48" s="283"/>
      <c r="AF48" s="283"/>
      <c r="AG48" s="283"/>
      <c r="AH48" s="283"/>
      <c r="AI48" s="283"/>
      <c r="AJ48" s="283"/>
      <c r="AK48" s="283"/>
      <c r="AL48" s="283">
        <v>738</v>
      </c>
      <c r="AM48" s="283">
        <v>738</v>
      </c>
      <c r="AN48" s="283">
        <v>492</v>
      </c>
      <c r="AO48" s="283">
        <v>492</v>
      </c>
      <c r="AP48" s="283">
        <v>492</v>
      </c>
      <c r="AQ48" s="283">
        <v>492</v>
      </c>
      <c r="AR48" s="283">
        <v>492</v>
      </c>
      <c r="AS48" s="283">
        <v>492</v>
      </c>
      <c r="AT48" s="278" t="s">
        <v>1444</v>
      </c>
      <c r="AU48" s="96" t="s">
        <v>81</v>
      </c>
      <c r="AV48" s="297" t="s">
        <v>2203</v>
      </c>
      <c r="AW48" s="183" t="s">
        <v>2197</v>
      </c>
      <c r="AX48" s="183" t="s">
        <v>629</v>
      </c>
      <c r="AY48" s="320" t="s">
        <v>1444</v>
      </c>
      <c r="AZ48" s="183" t="s">
        <v>2204</v>
      </c>
      <c r="BA48" s="280">
        <v>46281</v>
      </c>
      <c r="BB48" s="279">
        <v>46281</v>
      </c>
      <c r="BC48" s="321"/>
      <c r="BD48" s="279"/>
      <c r="BE48" s="224" t="s">
        <v>2205</v>
      </c>
      <c r="BF48" s="159" t="s">
        <v>2062</v>
      </c>
    </row>
    <row r="49" s="311" customFormat="1" ht="37.5" hidden="1" customHeight="1" spans="1:58">
      <c r="A49" s="215">
        <f t="shared" si="17"/>
        <v>46</v>
      </c>
      <c r="B49" s="183" t="s">
        <v>2200</v>
      </c>
      <c r="C49" s="96" t="s">
        <v>466</v>
      </c>
      <c r="D49" s="786" t="s">
        <v>575</v>
      </c>
      <c r="E49" s="216"/>
      <c r="F49" s="217"/>
      <c r="G49" s="217"/>
      <c r="H49" s="217"/>
      <c r="I49" s="218"/>
      <c r="J49" s="294">
        <v>18</v>
      </c>
      <c r="K49" s="95">
        <v>18</v>
      </c>
      <c r="L49" s="277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83"/>
      <c r="AB49" s="283"/>
      <c r="AC49" s="283"/>
      <c r="AD49" s="283"/>
      <c r="AE49" s="283"/>
      <c r="AF49" s="283"/>
      <c r="AG49" s="283"/>
      <c r="AH49" s="283"/>
      <c r="AI49" s="283"/>
      <c r="AJ49" s="283"/>
      <c r="AK49" s="283"/>
      <c r="AL49" s="283">
        <v>3</v>
      </c>
      <c r="AM49" s="283">
        <v>3</v>
      </c>
      <c r="AN49" s="283">
        <v>2</v>
      </c>
      <c r="AO49" s="283">
        <v>2</v>
      </c>
      <c r="AP49" s="283">
        <v>2</v>
      </c>
      <c r="AQ49" s="283">
        <v>2</v>
      </c>
      <c r="AR49" s="283">
        <v>2</v>
      </c>
      <c r="AS49" s="283">
        <v>2</v>
      </c>
      <c r="AT49" s="278" t="s">
        <v>1444</v>
      </c>
      <c r="AU49" s="96" t="s">
        <v>81</v>
      </c>
      <c r="AV49" s="297" t="s">
        <v>84</v>
      </c>
      <c r="AW49" s="183"/>
      <c r="AX49" s="183"/>
      <c r="AY49" s="320" t="s">
        <v>1444</v>
      </c>
      <c r="AZ49" s="782" t="s">
        <v>2206</v>
      </c>
      <c r="BA49" s="280">
        <v>46281</v>
      </c>
      <c r="BB49" s="279"/>
      <c r="BC49" s="321"/>
      <c r="BD49" s="279">
        <v>46262</v>
      </c>
      <c r="BE49" s="224" t="s">
        <v>2205</v>
      </c>
      <c r="BF49" s="159" t="s">
        <v>2062</v>
      </c>
    </row>
    <row r="50" s="311" customFormat="1" ht="33" customHeight="1" spans="1:58">
      <c r="A50" s="215">
        <f t="shared" ref="A50:A58" si="19">ROW()-3</f>
        <v>47</v>
      </c>
      <c r="B50" s="183" t="s">
        <v>2207</v>
      </c>
      <c r="C50" s="96" t="s">
        <v>466</v>
      </c>
      <c r="D50" s="216" t="s">
        <v>2208</v>
      </c>
      <c r="E50" s="216" t="s">
        <v>2209</v>
      </c>
      <c r="F50" s="217">
        <v>46140</v>
      </c>
      <c r="G50" s="217">
        <v>46281</v>
      </c>
      <c r="H50" s="217">
        <v>46281</v>
      </c>
      <c r="I50" s="218">
        <v>46206</v>
      </c>
      <c r="J50" s="294">
        <f>SUBTOTAL(9,L50:AS50)</f>
        <v>6768</v>
      </c>
      <c r="K50" s="95">
        <v>36</v>
      </c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83"/>
      <c r="AB50" s="283"/>
      <c r="AC50" s="283"/>
      <c r="AD50" s="283"/>
      <c r="AE50" s="283"/>
      <c r="AF50" s="283"/>
      <c r="AG50" s="283"/>
      <c r="AH50" s="283"/>
      <c r="AI50" s="283"/>
      <c r="AJ50" s="283"/>
      <c r="AK50" s="283"/>
      <c r="AL50" s="283">
        <v>1128</v>
      </c>
      <c r="AM50" s="283">
        <v>1128</v>
      </c>
      <c r="AN50" s="283">
        <v>752</v>
      </c>
      <c r="AO50" s="283">
        <v>752</v>
      </c>
      <c r="AP50" s="283">
        <v>752</v>
      </c>
      <c r="AQ50" s="283">
        <v>752</v>
      </c>
      <c r="AR50" s="283">
        <v>752</v>
      </c>
      <c r="AS50" s="283">
        <v>752</v>
      </c>
      <c r="AT50" s="278" t="s">
        <v>1444</v>
      </c>
      <c r="AU50" s="96" t="s">
        <v>81</v>
      </c>
      <c r="AV50" s="297" t="s">
        <v>2203</v>
      </c>
      <c r="AW50" s="183" t="s">
        <v>2197</v>
      </c>
      <c r="AX50" s="183" t="s">
        <v>629</v>
      </c>
      <c r="AY50" s="320" t="s">
        <v>1444</v>
      </c>
      <c r="AZ50" s="183" t="s">
        <v>2204</v>
      </c>
      <c r="BA50" s="280">
        <v>46281</v>
      </c>
      <c r="BB50" s="279">
        <v>46281</v>
      </c>
      <c r="BC50" s="321"/>
      <c r="BD50" s="279"/>
      <c r="BE50" s="224" t="s">
        <v>2210</v>
      </c>
      <c r="BF50" s="159" t="s">
        <v>2062</v>
      </c>
    </row>
    <row r="51" s="311" customFormat="1" ht="33" customHeight="1" spans="1:58">
      <c r="A51" s="215">
        <f t="shared" si="19"/>
        <v>48</v>
      </c>
      <c r="B51" s="183" t="s">
        <v>2211</v>
      </c>
      <c r="C51" s="96" t="s">
        <v>466</v>
      </c>
      <c r="D51" s="216" t="s">
        <v>2212</v>
      </c>
      <c r="E51" s="216" t="s">
        <v>2213</v>
      </c>
      <c r="F51" s="217">
        <v>46140</v>
      </c>
      <c r="G51" s="217">
        <v>46281</v>
      </c>
      <c r="H51" s="217">
        <v>46281</v>
      </c>
      <c r="I51" s="218">
        <v>46206</v>
      </c>
      <c r="J51" s="294">
        <f>SUBTOTAL(9,L51:AS51)</f>
        <v>240</v>
      </c>
      <c r="K51" s="95">
        <v>48</v>
      </c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83"/>
      <c r="AB51" s="283"/>
      <c r="AC51" s="283"/>
      <c r="AD51" s="283"/>
      <c r="AE51" s="283"/>
      <c r="AF51" s="283"/>
      <c r="AG51" s="283"/>
      <c r="AH51" s="283"/>
      <c r="AI51" s="283"/>
      <c r="AJ51" s="283"/>
      <c r="AK51" s="283"/>
      <c r="AL51" s="283">
        <v>40</v>
      </c>
      <c r="AM51" s="283">
        <v>40</v>
      </c>
      <c r="AN51" s="283">
        <v>30</v>
      </c>
      <c r="AO51" s="283">
        <v>30</v>
      </c>
      <c r="AP51" s="283">
        <v>25</v>
      </c>
      <c r="AQ51" s="283">
        <v>25</v>
      </c>
      <c r="AR51" s="283">
        <v>25</v>
      </c>
      <c r="AS51" s="283">
        <v>25</v>
      </c>
      <c r="AT51" s="278" t="s">
        <v>1444</v>
      </c>
      <c r="AU51" s="96" t="s">
        <v>81</v>
      </c>
      <c r="AV51" s="297" t="s">
        <v>2203</v>
      </c>
      <c r="AW51" s="183" t="s">
        <v>2197</v>
      </c>
      <c r="AX51" s="183" t="s">
        <v>629</v>
      </c>
      <c r="AY51" s="320" t="s">
        <v>1444</v>
      </c>
      <c r="AZ51" s="183" t="s">
        <v>2214</v>
      </c>
      <c r="BA51" s="280">
        <v>46281</v>
      </c>
      <c r="BB51" s="279">
        <v>46281</v>
      </c>
      <c r="BC51" s="321"/>
      <c r="BD51" s="279"/>
      <c r="BE51" s="224" t="s">
        <v>2215</v>
      </c>
      <c r="BF51" s="159" t="s">
        <v>2074</v>
      </c>
    </row>
    <row r="52" s="311" customFormat="1" ht="33" customHeight="1" spans="1:58">
      <c r="A52" s="215">
        <f t="shared" si="19"/>
        <v>49</v>
      </c>
      <c r="B52" s="183" t="s">
        <v>2216</v>
      </c>
      <c r="C52" s="96" t="s">
        <v>466</v>
      </c>
      <c r="D52" s="216" t="s">
        <v>2217</v>
      </c>
      <c r="E52" s="216" t="s">
        <v>2218</v>
      </c>
      <c r="F52" s="217">
        <v>46140</v>
      </c>
      <c r="G52" s="217">
        <v>46281</v>
      </c>
      <c r="H52" s="217">
        <v>46281</v>
      </c>
      <c r="I52" s="218">
        <v>46206</v>
      </c>
      <c r="J52" s="294">
        <f>SUBTOTAL(9,L52:AS52)</f>
        <v>384</v>
      </c>
      <c r="K52" s="95">
        <v>48</v>
      </c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  <c r="AA52" s="283"/>
      <c r="AB52" s="283"/>
      <c r="AC52" s="283"/>
      <c r="AD52" s="283"/>
      <c r="AE52" s="283"/>
      <c r="AF52" s="283"/>
      <c r="AG52" s="283"/>
      <c r="AH52" s="283"/>
      <c r="AI52" s="283"/>
      <c r="AJ52" s="283"/>
      <c r="AK52" s="283"/>
      <c r="AL52" s="283">
        <v>64</v>
      </c>
      <c r="AM52" s="283">
        <v>64</v>
      </c>
      <c r="AN52" s="283">
        <v>48</v>
      </c>
      <c r="AO52" s="283">
        <v>48</v>
      </c>
      <c r="AP52" s="283">
        <v>40</v>
      </c>
      <c r="AQ52" s="283">
        <v>40</v>
      </c>
      <c r="AR52" s="283">
        <v>40</v>
      </c>
      <c r="AS52" s="283">
        <v>40</v>
      </c>
      <c r="AT52" s="278" t="s">
        <v>1444</v>
      </c>
      <c r="AU52" s="96" t="s">
        <v>81</v>
      </c>
      <c r="AV52" s="297" t="s">
        <v>2203</v>
      </c>
      <c r="AW52" s="183" t="s">
        <v>2197</v>
      </c>
      <c r="AX52" s="183" t="s">
        <v>629</v>
      </c>
      <c r="AY52" s="320" t="s">
        <v>1444</v>
      </c>
      <c r="AZ52" s="183" t="s">
        <v>2214</v>
      </c>
      <c r="BA52" s="280">
        <v>46281</v>
      </c>
      <c r="BB52" s="279">
        <v>46281</v>
      </c>
      <c r="BC52" s="321"/>
      <c r="BD52" s="279"/>
      <c r="BE52" s="224" t="s">
        <v>2219</v>
      </c>
      <c r="BF52" s="159" t="s">
        <v>2074</v>
      </c>
    </row>
    <row r="53" s="311" customFormat="1" ht="37.5" customHeight="1" spans="1:58">
      <c r="A53" s="215">
        <f t="shared" si="19"/>
        <v>50</v>
      </c>
      <c r="B53" s="183" t="s">
        <v>100</v>
      </c>
      <c r="C53" s="96" t="s">
        <v>101</v>
      </c>
      <c r="D53" s="216" t="s">
        <v>2220</v>
      </c>
      <c r="E53" s="216" t="s">
        <v>2221</v>
      </c>
      <c r="F53" s="217">
        <v>46140</v>
      </c>
      <c r="G53" s="217">
        <v>46304</v>
      </c>
      <c r="H53" s="217">
        <v>46304</v>
      </c>
      <c r="I53" s="218">
        <v>46157</v>
      </c>
      <c r="J53" s="294">
        <f>SUBTOTAL(9,L53:AS53)</f>
        <v>22392</v>
      </c>
      <c r="K53" s="95">
        <v>36</v>
      </c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83"/>
      <c r="AB53" s="283"/>
      <c r="AC53" s="283"/>
      <c r="AD53" s="283">
        <v>7344</v>
      </c>
      <c r="AE53" s="283">
        <v>8028</v>
      </c>
      <c r="AF53" s="283"/>
      <c r="AG53" s="283"/>
      <c r="AH53" s="283"/>
      <c r="AI53" s="283"/>
      <c r="AJ53" s="283"/>
      <c r="AK53" s="283"/>
      <c r="AL53" s="283"/>
      <c r="AM53" s="283"/>
      <c r="AN53" s="283"/>
      <c r="AO53" s="283"/>
      <c r="AP53" s="283">
        <v>7020</v>
      </c>
      <c r="AQ53" s="283"/>
      <c r="AR53" s="283"/>
      <c r="AS53" s="283"/>
      <c r="AT53" s="278" t="s">
        <v>1444</v>
      </c>
      <c r="AU53" s="96" t="s">
        <v>81</v>
      </c>
      <c r="AV53" s="297" t="s">
        <v>2196</v>
      </c>
      <c r="AW53" s="183" t="s">
        <v>2197</v>
      </c>
      <c r="AX53" s="183" t="s">
        <v>1469</v>
      </c>
      <c r="AY53" s="320" t="s">
        <v>1444</v>
      </c>
      <c r="AZ53" s="183" t="s">
        <v>2175</v>
      </c>
      <c r="BA53" s="280">
        <v>46304</v>
      </c>
      <c r="BB53" s="279"/>
      <c r="BC53" s="321"/>
      <c r="BD53" s="279"/>
      <c r="BE53" s="224" t="s">
        <v>2222</v>
      </c>
      <c r="BF53" s="159" t="s">
        <v>2157</v>
      </c>
    </row>
    <row r="54" s="311" customFormat="1" ht="37.5" customHeight="1" spans="1:58">
      <c r="A54" s="215">
        <f t="shared" si="19"/>
        <v>51</v>
      </c>
      <c r="B54" s="269" t="s">
        <v>1347</v>
      </c>
      <c r="C54" s="270" t="s">
        <v>741</v>
      </c>
      <c r="D54" s="271" t="s">
        <v>2223</v>
      </c>
      <c r="E54" s="271"/>
      <c r="F54" s="273">
        <v>46273</v>
      </c>
      <c r="G54" s="273">
        <v>46361</v>
      </c>
      <c r="H54" s="273"/>
      <c r="I54" s="274"/>
      <c r="J54" s="275">
        <v>3600</v>
      </c>
      <c r="K54" s="276">
        <v>18</v>
      </c>
      <c r="L54" s="277">
        <f>J54/K54*3</f>
        <v>600</v>
      </c>
      <c r="M54" s="277">
        <f>J54/K54*3</f>
        <v>600</v>
      </c>
      <c r="N54" s="277">
        <f t="shared" ref="N54:S54" si="20">$J54/$K54*2</f>
        <v>400</v>
      </c>
      <c r="O54" s="277">
        <f t="shared" si="20"/>
        <v>400</v>
      </c>
      <c r="P54" s="277">
        <f t="shared" si="20"/>
        <v>400</v>
      </c>
      <c r="Q54" s="277">
        <f t="shared" si="20"/>
        <v>400</v>
      </c>
      <c r="R54" s="277">
        <f t="shared" si="20"/>
        <v>400</v>
      </c>
      <c r="S54" s="277">
        <f t="shared" si="20"/>
        <v>400</v>
      </c>
      <c r="T54" s="277"/>
      <c r="U54" s="277"/>
      <c r="V54" s="277"/>
      <c r="W54" s="277"/>
      <c r="X54" s="277"/>
      <c r="Y54" s="277"/>
      <c r="Z54" s="277"/>
      <c r="AA54" s="283"/>
      <c r="AB54" s="283"/>
      <c r="AC54" s="283"/>
      <c r="AD54" s="283"/>
      <c r="AE54" s="283"/>
      <c r="AF54" s="283"/>
      <c r="AG54" s="283"/>
      <c r="AH54" s="283"/>
      <c r="AI54" s="283"/>
      <c r="AJ54" s="283"/>
      <c r="AK54" s="283"/>
      <c r="AL54" s="283"/>
      <c r="AM54" s="283"/>
      <c r="AN54" s="283"/>
      <c r="AO54" s="283"/>
      <c r="AP54" s="283"/>
      <c r="AQ54" s="283"/>
      <c r="AR54" s="283"/>
      <c r="AS54" s="283"/>
      <c r="AT54" s="278"/>
      <c r="AU54" s="96"/>
      <c r="AV54" s="297"/>
      <c r="AW54" s="183"/>
      <c r="AX54" s="183"/>
      <c r="AY54" s="320"/>
      <c r="AZ54" s="183"/>
      <c r="BA54" s="280"/>
      <c r="BB54" s="279"/>
      <c r="BC54" s="321"/>
      <c r="BD54" s="279"/>
      <c r="BE54" s="224"/>
      <c r="BF54" s="159" t="s">
        <v>2163</v>
      </c>
    </row>
    <row r="55" s="311" customFormat="1" ht="37.5" customHeight="1" spans="1:58">
      <c r="A55" s="215">
        <f t="shared" si="19"/>
        <v>52</v>
      </c>
      <c r="B55" s="183"/>
      <c r="C55" s="96"/>
      <c r="D55" s="216"/>
      <c r="E55" s="216"/>
      <c r="F55" s="217"/>
      <c r="G55" s="217"/>
      <c r="H55" s="217"/>
      <c r="I55" s="218"/>
      <c r="J55" s="294"/>
      <c r="K55" s="95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83"/>
      <c r="AB55" s="283"/>
      <c r="AC55" s="283"/>
      <c r="AD55" s="283"/>
      <c r="AE55" s="283"/>
      <c r="AF55" s="283"/>
      <c r="AG55" s="283"/>
      <c r="AH55" s="283"/>
      <c r="AI55" s="283"/>
      <c r="AJ55" s="283"/>
      <c r="AK55" s="283"/>
      <c r="AL55" s="283"/>
      <c r="AM55" s="283"/>
      <c r="AN55" s="283"/>
      <c r="AO55" s="283"/>
      <c r="AP55" s="283"/>
      <c r="AQ55" s="283"/>
      <c r="AR55" s="283"/>
      <c r="AS55" s="283"/>
      <c r="AT55" s="278"/>
      <c r="AU55" s="96"/>
      <c r="AV55" s="297"/>
      <c r="AW55" s="183"/>
      <c r="AX55" s="183"/>
      <c r="AY55" s="320"/>
      <c r="AZ55" s="183"/>
      <c r="BA55" s="280"/>
      <c r="BB55" s="279"/>
      <c r="BC55" s="321"/>
      <c r="BD55" s="279"/>
      <c r="BE55" s="224"/>
      <c r="BF55" s="159"/>
    </row>
    <row r="56" s="3" customFormat="1" ht="27" customHeight="1" spans="1:58">
      <c r="A56" s="215"/>
      <c r="B56" s="183"/>
      <c r="C56" s="96"/>
      <c r="D56" s="216"/>
      <c r="E56" s="216"/>
      <c r="F56" s="217"/>
      <c r="G56" s="217"/>
      <c r="H56" s="217"/>
      <c r="I56" s="218"/>
      <c r="J56" s="95"/>
      <c r="K56" s="95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  <c r="AA56" s="283"/>
      <c r="AB56" s="283"/>
      <c r="AC56" s="283"/>
      <c r="AD56" s="283"/>
      <c r="AE56" s="283"/>
      <c r="AF56" s="283"/>
      <c r="AG56" s="283"/>
      <c r="AH56" s="283"/>
      <c r="AI56" s="283"/>
      <c r="AJ56" s="283"/>
      <c r="AK56" s="283"/>
      <c r="AL56" s="283"/>
      <c r="AM56" s="283"/>
      <c r="AN56" s="283"/>
      <c r="AO56" s="283"/>
      <c r="AP56" s="283"/>
      <c r="AQ56" s="283"/>
      <c r="AR56" s="283"/>
      <c r="AS56" s="283"/>
      <c r="AT56" s="278"/>
      <c r="AU56" s="96"/>
      <c r="AV56" s="279"/>
      <c r="AW56" s="279"/>
      <c r="AX56" s="183"/>
      <c r="AY56" s="183"/>
      <c r="AZ56" s="183"/>
      <c r="BA56" s="280"/>
      <c r="BB56" s="222"/>
      <c r="BC56" s="97"/>
      <c r="BD56" s="97"/>
      <c r="BE56" s="224"/>
    </row>
    <row r="57" s="3" customFormat="1" ht="17.1" customHeight="1" spans="1:58">
      <c r="A57" s="93" t="s">
        <v>66</v>
      </c>
      <c r="B57" s="94"/>
      <c r="C57" s="94"/>
      <c r="D57" s="94"/>
      <c r="E57" s="94"/>
      <c r="F57" s="94"/>
      <c r="G57" s="94"/>
      <c r="H57" s="94"/>
      <c r="I57" s="94"/>
      <c r="J57" s="95">
        <f>SUM(J4:J56)</f>
        <v>558420</v>
      </c>
      <c r="K57" s="95"/>
      <c r="L57" s="95">
        <f t="shared" ref="L57:AS57" si="21">SUM(L4:L56)</f>
        <v>8724</v>
      </c>
      <c r="M57" s="95">
        <f t="shared" si="21"/>
        <v>2721</v>
      </c>
      <c r="N57" s="95">
        <f t="shared" si="21"/>
        <v>1814</v>
      </c>
      <c r="O57" s="95">
        <f t="shared" si="21"/>
        <v>15998</v>
      </c>
      <c r="P57" s="95">
        <f t="shared" si="21"/>
        <v>1814</v>
      </c>
      <c r="Q57" s="95">
        <f t="shared" si="21"/>
        <v>1814</v>
      </c>
      <c r="R57" s="95">
        <f t="shared" si="21"/>
        <v>7664</v>
      </c>
      <c r="S57" s="95">
        <f t="shared" si="21"/>
        <v>4794</v>
      </c>
      <c r="T57" s="95">
        <f t="shared" si="21"/>
        <v>8343</v>
      </c>
      <c r="U57" s="95">
        <f t="shared" si="21"/>
        <v>4002</v>
      </c>
      <c r="V57" s="95">
        <f t="shared" si="21"/>
        <v>4002</v>
      </c>
      <c r="W57" s="95">
        <f t="shared" si="21"/>
        <v>4002</v>
      </c>
      <c r="X57" s="95">
        <f t="shared" si="21"/>
        <v>4002</v>
      </c>
      <c r="Y57" s="95">
        <f t="shared" si="21"/>
        <v>4002</v>
      </c>
      <c r="Z57" s="95">
        <f t="shared" si="21"/>
        <v>4002</v>
      </c>
      <c r="AA57" s="95">
        <f t="shared" si="21"/>
        <v>18000</v>
      </c>
      <c r="AB57" s="95">
        <f t="shared" si="21"/>
        <v>60308</v>
      </c>
      <c r="AC57" s="95">
        <f t="shared" si="21"/>
        <v>28340</v>
      </c>
      <c r="AD57" s="95">
        <f t="shared" si="21"/>
        <v>61388</v>
      </c>
      <c r="AE57" s="95">
        <f t="shared" si="21"/>
        <v>70004</v>
      </c>
      <c r="AF57" s="95">
        <f t="shared" si="21"/>
        <v>47522</v>
      </c>
      <c r="AG57" s="95">
        <f t="shared" si="21"/>
        <v>47522</v>
      </c>
      <c r="AH57" s="95">
        <f t="shared" si="21"/>
        <v>25470</v>
      </c>
      <c r="AI57" s="95">
        <f t="shared" si="21"/>
        <v>28340</v>
      </c>
      <c r="AJ57" s="95">
        <f t="shared" si="21"/>
        <v>28340</v>
      </c>
      <c r="AK57" s="95">
        <f t="shared" si="21"/>
        <v>7020</v>
      </c>
      <c r="AL57" s="95">
        <f t="shared" si="21"/>
        <v>21080</v>
      </c>
      <c r="AM57" s="95">
        <f t="shared" si="21"/>
        <v>21080</v>
      </c>
      <c r="AN57" s="95">
        <f t="shared" si="21"/>
        <v>21678</v>
      </c>
      <c r="AO57" s="95">
        <f t="shared" si="21"/>
        <v>18900</v>
      </c>
      <c r="AP57" s="95">
        <f t="shared" si="21"/>
        <v>49946</v>
      </c>
      <c r="AQ57" s="95">
        <f t="shared" si="21"/>
        <v>40046</v>
      </c>
      <c r="AR57" s="95">
        <f t="shared" si="21"/>
        <v>20368</v>
      </c>
      <c r="AS57" s="95">
        <f t="shared" si="21"/>
        <v>23146</v>
      </c>
      <c r="AT57" s="96"/>
      <c r="AU57" s="96"/>
      <c r="AV57" s="96"/>
      <c r="AW57" s="96"/>
      <c r="AX57" s="96"/>
      <c r="AY57" s="96"/>
      <c r="AZ57" s="96"/>
      <c r="BA57" s="97"/>
      <c r="BB57" s="97"/>
      <c r="BC57" s="97"/>
      <c r="BD57" s="97"/>
      <c r="BE57" s="239"/>
    </row>
    <row r="58" s="4" customFormat="1" ht="17.1" customHeight="1" spans="1:58">
      <c r="A58" s="99"/>
      <c r="B58" s="100"/>
      <c r="C58" s="100"/>
      <c r="D58" s="100"/>
      <c r="E58" s="100"/>
      <c r="F58" s="100"/>
      <c r="G58" s="100"/>
      <c r="H58" s="100"/>
      <c r="I58" s="100"/>
      <c r="J58" s="133">
        <f>SUM(L58:AS58)</f>
        <v>712628</v>
      </c>
      <c r="K58" s="100"/>
      <c r="L58" s="133">
        <f>6003+2121</f>
        <v>8124</v>
      </c>
      <c r="M58" s="133">
        <f>2121</f>
        <v>2121</v>
      </c>
      <c r="N58" s="133">
        <f>1414</f>
        <v>1414</v>
      </c>
      <c r="O58" s="133">
        <f>2340+11844+1414</f>
        <v>15598</v>
      </c>
      <c r="P58" s="133">
        <f>1414</f>
        <v>1414</v>
      </c>
      <c r="Q58" s="133">
        <f>1414</f>
        <v>1414</v>
      </c>
      <c r="R58" s="133">
        <f>5450+400+1414</f>
        <v>7264</v>
      </c>
      <c r="S58" s="133">
        <f>2780+200+1414</f>
        <v>4394</v>
      </c>
      <c r="T58" s="133">
        <f>8343</f>
        <v>8343</v>
      </c>
      <c r="U58" s="133">
        <f t="shared" ref="U58:Z58" si="22">4002</f>
        <v>4002</v>
      </c>
      <c r="V58" s="133">
        <f t="shared" si="22"/>
        <v>4002</v>
      </c>
      <c r="W58" s="133">
        <f t="shared" si="22"/>
        <v>4002</v>
      </c>
      <c r="X58" s="133">
        <f t="shared" si="22"/>
        <v>4002</v>
      </c>
      <c r="Y58" s="133">
        <f t="shared" si="22"/>
        <v>4002</v>
      </c>
      <c r="Z58" s="133">
        <f t="shared" si="22"/>
        <v>4002</v>
      </c>
      <c r="AA58" s="133">
        <f>18050</f>
        <v>18050</v>
      </c>
      <c r="AB58" s="133">
        <f>32458+364+24960+1414+1112</f>
        <v>60308</v>
      </c>
      <c r="AC58" s="133">
        <f>25450+364+1414+1112</f>
        <v>28340</v>
      </c>
      <c r="AD58" s="133">
        <f>25450+364+12852+1414+21308</f>
        <v>61388</v>
      </c>
      <c r="AE58" s="133">
        <f>31006+364+14040+1414+23180</f>
        <v>70004</v>
      </c>
      <c r="AF58" s="133">
        <f>22672+364+10980+1414+12092</f>
        <v>47522</v>
      </c>
      <c r="AG58" s="133">
        <f>22672+364+10980+1414+12092</f>
        <v>47522</v>
      </c>
      <c r="AH58" s="133">
        <f>22784+160+1414+1112</f>
        <v>25470</v>
      </c>
      <c r="AI58" s="133">
        <f>25450+364+1414+1112</f>
        <v>28340</v>
      </c>
      <c r="AJ58" s="133">
        <f>25450+364+1414+1112</f>
        <v>28340</v>
      </c>
      <c r="AK58" s="133">
        <f>7008+12</f>
        <v>7020</v>
      </c>
      <c r="AL58" s="133">
        <f>15900+834+252+2121+1970</f>
        <v>21077</v>
      </c>
      <c r="AM58" s="133">
        <f>15900+834+252+2121+1970</f>
        <v>21077</v>
      </c>
      <c r="AN58" s="133">
        <f>18006+210+556+168+1414+1322</f>
        <v>21676</v>
      </c>
      <c r="AO58" s="133">
        <f>15228+210+556+168+1414+1322</f>
        <v>18898</v>
      </c>
      <c r="AP58" s="133">
        <f>15228+201+556+12192+1414+20353</f>
        <v>49944</v>
      </c>
      <c r="AQ58" s="133">
        <f>15228+201+556+21336+1414+1309</f>
        <v>40044</v>
      </c>
      <c r="AR58" s="133">
        <f>16618+301+556+168+1414+1309</f>
        <v>20366</v>
      </c>
      <c r="AS58" s="133">
        <f>19396+301+556+168+1414+1309</f>
        <v>23144</v>
      </c>
      <c r="AT58" s="100"/>
      <c r="AU58" s="100"/>
      <c r="AV58" s="100"/>
      <c r="AW58" s="100"/>
      <c r="AX58" s="100"/>
      <c r="AY58" s="100"/>
      <c r="AZ58" s="100"/>
      <c r="BA58" s="101"/>
      <c r="BB58" s="101"/>
      <c r="BC58" s="101"/>
      <c r="BD58" s="101"/>
      <c r="BE58" s="240"/>
    </row>
    <row r="59" s="4" customFormat="1" ht="17.1" customHeight="1" spans="1:58">
      <c r="A59" s="241" t="s">
        <v>67</v>
      </c>
      <c r="B59" s="242"/>
      <c r="C59" s="242"/>
      <c r="D59" s="242"/>
      <c r="E59" s="242"/>
      <c r="F59" s="242"/>
      <c r="G59" s="242"/>
      <c r="H59" s="242"/>
      <c r="I59" s="243"/>
      <c r="J59" s="244">
        <f>SUM(L59:AS59)</f>
        <v>-3568</v>
      </c>
      <c r="K59" s="245"/>
      <c r="L59" s="106">
        <f>L58-L57</f>
        <v>-600</v>
      </c>
      <c r="M59" s="106">
        <f>M58-M57</f>
        <v>-600</v>
      </c>
      <c r="N59" s="106">
        <f>N58-N57</f>
        <v>-400</v>
      </c>
      <c r="O59" s="106">
        <f>O58-O57</f>
        <v>-400</v>
      </c>
      <c r="P59" s="106">
        <f t="shared" ref="P59:AS59" si="23">P58-P57</f>
        <v>-400</v>
      </c>
      <c r="Q59" s="106">
        <f t="shared" si="23"/>
        <v>-400</v>
      </c>
      <c r="R59" s="106">
        <f t="shared" si="23"/>
        <v>-400</v>
      </c>
      <c r="S59" s="106">
        <f t="shared" si="23"/>
        <v>-400</v>
      </c>
      <c r="T59" s="106">
        <f t="shared" si="23"/>
        <v>0</v>
      </c>
      <c r="U59" s="106">
        <f t="shared" si="23"/>
        <v>0</v>
      </c>
      <c r="V59" s="106">
        <f t="shared" si="23"/>
        <v>0</v>
      </c>
      <c r="W59" s="106">
        <f t="shared" si="23"/>
        <v>0</v>
      </c>
      <c r="X59" s="106">
        <f t="shared" si="23"/>
        <v>0</v>
      </c>
      <c r="Y59" s="106">
        <f t="shared" si="23"/>
        <v>0</v>
      </c>
      <c r="Z59" s="106">
        <f t="shared" si="23"/>
        <v>0</v>
      </c>
      <c r="AA59" s="106">
        <f t="shared" si="23"/>
        <v>50</v>
      </c>
      <c r="AB59" s="106">
        <f t="shared" si="23"/>
        <v>0</v>
      </c>
      <c r="AC59" s="106">
        <f t="shared" si="23"/>
        <v>0</v>
      </c>
      <c r="AD59" s="106">
        <f t="shared" si="23"/>
        <v>0</v>
      </c>
      <c r="AE59" s="106">
        <f t="shared" si="23"/>
        <v>0</v>
      </c>
      <c r="AF59" s="106">
        <f t="shared" si="23"/>
        <v>0</v>
      </c>
      <c r="AG59" s="106">
        <f t="shared" si="23"/>
        <v>0</v>
      </c>
      <c r="AH59" s="106">
        <f t="shared" si="23"/>
        <v>0</v>
      </c>
      <c r="AI59" s="106">
        <f t="shared" si="23"/>
        <v>0</v>
      </c>
      <c r="AJ59" s="106">
        <f t="shared" si="23"/>
        <v>0</v>
      </c>
      <c r="AK59" s="106">
        <f t="shared" si="23"/>
        <v>0</v>
      </c>
      <c r="AL59" s="106">
        <f t="shared" si="23"/>
        <v>-3</v>
      </c>
      <c r="AM59" s="106">
        <f t="shared" si="23"/>
        <v>-3</v>
      </c>
      <c r="AN59" s="106">
        <f t="shared" si="23"/>
        <v>-2</v>
      </c>
      <c r="AO59" s="106">
        <f t="shared" si="23"/>
        <v>-2</v>
      </c>
      <c r="AP59" s="106">
        <f t="shared" si="23"/>
        <v>-2</v>
      </c>
      <c r="AQ59" s="106">
        <f t="shared" si="23"/>
        <v>-2</v>
      </c>
      <c r="AR59" s="106">
        <f t="shared" si="23"/>
        <v>-2</v>
      </c>
      <c r="AS59" s="106">
        <f t="shared" si="23"/>
        <v>-2</v>
      </c>
      <c r="AT59" s="107"/>
      <c r="AU59" s="107"/>
      <c r="AV59" s="107"/>
      <c r="AW59" s="107"/>
      <c r="AX59" s="107"/>
      <c r="AY59" s="107"/>
      <c r="AZ59" s="107"/>
      <c r="BA59" s="108"/>
      <c r="BB59" s="108"/>
      <c r="BC59" s="108"/>
      <c r="BD59" s="108"/>
      <c r="BE59" s="246"/>
    </row>
    <row r="60" spans="1:58">
      <c r="B60" s="110" t="s">
        <v>68</v>
      </c>
      <c r="C60" s="110"/>
      <c r="D60" s="111"/>
      <c r="E60" s="111"/>
      <c r="F60" s="111"/>
      <c r="G60" s="111"/>
      <c r="H60" s="111" t="s">
        <v>377</v>
      </c>
      <c r="I60" s="111"/>
      <c r="J60" s="285"/>
    </row>
    <row r="63" spans="1:58">
      <c r="B63" s="286"/>
    </row>
    <row r="64" spans="1:58">
      <c r="B64" s="286"/>
    </row>
    <row r="65" spans="2:2">
      <c r="B65" s="286"/>
    </row>
    <row r="66" spans="2:2">
      <c r="B66" s="286"/>
    </row>
    <row r="71" spans="2:2">
      <c r="B71" t="s">
        <v>2224</v>
      </c>
    </row>
  </sheetData>
  <autoFilter xmlns:etc="http://www.wps.cn/officeDocument/2017/etCustomData" ref="A3:BH55" etc:filterBottomFollowUsedRange="0">
    <filterColumn colId="55">
      <filters blank="1"/>
    </filterColumn>
    <extLst/>
  </autoFilter>
  <mergeCells count="31">
    <mergeCell ref="A1:AZ1"/>
    <mergeCell ref="BA1:BC1"/>
    <mergeCell ref="BD1:BE1"/>
    <mergeCell ref="L2:AJ2"/>
    <mergeCell ref="AL2:AS2"/>
    <mergeCell ref="A57:I57"/>
    <mergeCell ref="A58:I58"/>
    <mergeCell ref="A59:I5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</mergeCells>
  <conditionalFormatting sqref="L59:AS59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32" fitToHeight="2" orientation="landscape" horizontalDpi="1200" verticalDpi="1200"/>
  <headerFooter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99FF"/>
    <pageSetUpPr fitToPage="1"/>
  </sheetPr>
  <dimension ref="A1:BL95"/>
  <sheetViews>
    <sheetView workbookViewId="0">
      <pane xSplit="11" ySplit="4" topLeftCell="L69" activePane="bottomRight" state="frozen"/>
      <selection/>
      <selection pane="topRight"/>
      <selection pane="bottomLeft"/>
      <selection pane="bottomRight" activeCell="V76" sqref="V76"/>
    </sheetView>
  </sheetViews>
  <sheetFormatPr defaultColWidth="9" defaultRowHeight="14.25"/>
  <cols>
    <col min="1" max="1" width="3.125" customWidth="1"/>
    <col min="2" max="2" width="11.75" customWidth="1"/>
    <col min="3" max="3" width="7.125" customWidth="1"/>
    <col min="4" max="4" width="12" customWidth="1"/>
    <col min="5" max="5" width="11.625" customWidth="1"/>
    <col min="6" max="9" width="5.125" customWidth="1"/>
    <col min="10" max="10" width="7.125" customWidth="1"/>
    <col min="11" max="11" width="5.125" customWidth="1"/>
    <col min="12" max="49" width="6.125" customWidth="1"/>
    <col min="50" max="50" width="8.625" customWidth="1"/>
    <col min="51" max="51" width="4.375" customWidth="1"/>
    <col min="52" max="53" width="6.625" customWidth="1"/>
    <col min="54" max="54" width="6.125" customWidth="1"/>
    <col min="55" max="55" width="8.875" customWidth="1"/>
    <col min="56" max="56" width="21.375" customWidth="1"/>
    <col min="57" max="57" width="9.125" style="114" customWidth="1"/>
    <col min="58" max="58" width="11.125" style="113" customWidth="1"/>
    <col min="59" max="59" width="9.125" style="113" customWidth="1"/>
    <col min="60" max="60" width="9.625" style="113" customWidth="1"/>
    <col min="61" max="61" width="11.875" style="194" customWidth="1"/>
    <col min="62" max="62" width="21" style="255" customWidth="1"/>
    <col min="63" max="63" width="11.875" customWidth="1"/>
    <col min="64" max="64" width="16.375" customWidth="1"/>
  </cols>
  <sheetData>
    <row r="1" ht="45" customHeight="1" spans="1:63">
      <c r="A1" s="298" t="s">
        <v>2225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765"/>
      <c r="BF1" s="289" t="s">
        <v>1</v>
      </c>
      <c r="BG1" s="289"/>
      <c r="BH1" s="200">
        <f ca="1">TODAY()</f>
        <v>46277</v>
      </c>
      <c r="BI1" s="201"/>
    </row>
    <row r="2" s="190" customFormat="1" ht="21.95" customHeight="1" spans="1:63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290" t="s">
        <v>13</v>
      </c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291"/>
      <c r="AJ2" s="291"/>
      <c r="AK2" s="291"/>
      <c r="AL2" s="291"/>
      <c r="AM2" s="291"/>
      <c r="AN2" s="291"/>
      <c r="AO2" s="291"/>
      <c r="AP2" s="291"/>
      <c r="AQ2" s="291"/>
      <c r="AR2" s="291"/>
      <c r="AS2" s="291"/>
      <c r="AT2" s="291"/>
      <c r="AU2" s="291"/>
      <c r="AV2" s="291"/>
      <c r="AW2" s="766"/>
      <c r="AX2" s="20" t="s">
        <v>14</v>
      </c>
      <c r="AY2" s="22" t="s">
        <v>15</v>
      </c>
      <c r="AZ2" s="22" t="s">
        <v>1982</v>
      </c>
      <c r="BA2" s="22" t="s">
        <v>18</v>
      </c>
      <c r="BB2" s="22" t="s">
        <v>19</v>
      </c>
      <c r="BC2" s="22" t="s">
        <v>20</v>
      </c>
      <c r="BD2" s="261" t="s">
        <v>21</v>
      </c>
      <c r="BE2" s="25" t="s">
        <v>22</v>
      </c>
      <c r="BF2" s="26" t="s">
        <v>23</v>
      </c>
      <c r="BG2" s="26" t="s">
        <v>24</v>
      </c>
      <c r="BH2" s="26" t="s">
        <v>25</v>
      </c>
      <c r="BI2" s="205" t="s">
        <v>26</v>
      </c>
      <c r="BJ2" s="159" t="s">
        <v>65</v>
      </c>
      <c r="BK2" s="190" t="s">
        <v>2226</v>
      </c>
    </row>
    <row r="3" s="190" customFormat="1" ht="21.95" customHeight="1" spans="1:63">
      <c r="A3" s="14"/>
      <c r="B3" s="15"/>
      <c r="C3" s="15"/>
      <c r="D3" s="15"/>
      <c r="E3" s="381"/>
      <c r="F3" s="15"/>
      <c r="G3" s="15"/>
      <c r="H3" s="15"/>
      <c r="I3" s="15"/>
      <c r="J3" s="15"/>
      <c r="K3" s="15"/>
      <c r="L3" s="18" t="s">
        <v>2227</v>
      </c>
      <c r="M3" s="18"/>
      <c r="N3" s="18"/>
      <c r="O3" s="18"/>
      <c r="P3" s="18"/>
      <c r="Q3" s="18"/>
      <c r="R3" s="18"/>
      <c r="S3" s="18"/>
      <c r="T3" s="18"/>
      <c r="U3" s="188" t="s">
        <v>2228</v>
      </c>
      <c r="V3" s="188"/>
      <c r="W3" s="188"/>
      <c r="X3" s="188"/>
      <c r="Y3" s="188"/>
      <c r="Z3" s="188"/>
      <c r="AA3" s="188"/>
      <c r="AB3" s="188"/>
      <c r="AC3" s="189"/>
      <c r="AD3" s="18" t="s">
        <v>2229</v>
      </c>
      <c r="AE3" s="18"/>
      <c r="AF3" s="18"/>
      <c r="AG3" s="18"/>
      <c r="AH3" s="18"/>
      <c r="AI3" s="18"/>
      <c r="AJ3" s="18"/>
      <c r="AK3" s="18"/>
      <c r="AL3" s="18"/>
      <c r="AM3" s="187" t="s">
        <v>1981</v>
      </c>
      <c r="AN3" s="188"/>
      <c r="AO3" s="188"/>
      <c r="AP3" s="188"/>
      <c r="AQ3" s="188"/>
      <c r="AR3" s="189"/>
      <c r="AS3" s="18"/>
      <c r="AT3" s="18"/>
      <c r="AU3" s="767"/>
      <c r="AV3" s="767"/>
      <c r="AW3" s="767"/>
      <c r="AX3" s="768"/>
      <c r="AY3" s="769"/>
      <c r="AZ3" s="769"/>
      <c r="BA3" s="769"/>
      <c r="BB3" s="769"/>
      <c r="BC3" s="769"/>
      <c r="BD3" s="770"/>
      <c r="BE3" s="25"/>
      <c r="BF3" s="26"/>
      <c r="BG3" s="26"/>
      <c r="BH3" s="26"/>
      <c r="BI3" s="205"/>
      <c r="BJ3" s="159"/>
    </row>
    <row r="4" s="190" customFormat="1" ht="34.5" customHeight="1" spans="1:63">
      <c r="A4" s="14"/>
      <c r="B4" s="15"/>
      <c r="C4" s="15"/>
      <c r="D4" s="15"/>
      <c r="E4" s="29"/>
      <c r="F4" s="15"/>
      <c r="G4" s="15"/>
      <c r="H4" s="15"/>
      <c r="I4" s="15"/>
      <c r="J4" s="15"/>
      <c r="K4" s="15"/>
      <c r="L4" s="264" t="s">
        <v>1561</v>
      </c>
      <c r="M4" s="264" t="s">
        <v>1562</v>
      </c>
      <c r="N4" s="264" t="s">
        <v>1568</v>
      </c>
      <c r="O4" s="292" t="s">
        <v>1614</v>
      </c>
      <c r="P4" s="264" t="s">
        <v>2230</v>
      </c>
      <c r="Q4" s="264" t="s">
        <v>2231</v>
      </c>
      <c r="R4" s="264" t="s">
        <v>1623</v>
      </c>
      <c r="S4" s="264" t="s">
        <v>1569</v>
      </c>
      <c r="T4" s="264" t="s">
        <v>1564</v>
      </c>
      <c r="U4" s="264" t="s">
        <v>2232</v>
      </c>
      <c r="V4" s="264" t="s">
        <v>1624</v>
      </c>
      <c r="W4" s="264" t="s">
        <v>2233</v>
      </c>
      <c r="X4" s="264" t="s">
        <v>1622</v>
      </c>
      <c r="Y4" s="264" t="s">
        <v>2234</v>
      </c>
      <c r="Z4" s="264" t="s">
        <v>1570</v>
      </c>
      <c r="AA4" s="264" t="s">
        <v>2235</v>
      </c>
      <c r="AB4" s="264" t="s">
        <v>2236</v>
      </c>
      <c r="AC4" s="292" t="s">
        <v>2237</v>
      </c>
      <c r="AD4" s="292" t="s">
        <v>2238</v>
      </c>
      <c r="AE4" s="264" t="s">
        <v>2239</v>
      </c>
      <c r="AF4" s="292" t="s">
        <v>1619</v>
      </c>
      <c r="AG4" s="264" t="s">
        <v>1620</v>
      </c>
      <c r="AH4" s="292" t="s">
        <v>2240</v>
      </c>
      <c r="AI4" s="264" t="s">
        <v>2241</v>
      </c>
      <c r="AJ4" s="264" t="s">
        <v>1565</v>
      </c>
      <c r="AK4" s="264" t="s">
        <v>1617</v>
      </c>
      <c r="AL4" s="264" t="s">
        <v>2242</v>
      </c>
      <c r="AM4" s="264" t="s">
        <v>2243</v>
      </c>
      <c r="AN4" s="264" t="s">
        <v>2244</v>
      </c>
      <c r="AO4" s="264" t="s">
        <v>2245</v>
      </c>
      <c r="AP4" s="264" t="s">
        <v>2246</v>
      </c>
      <c r="AQ4" s="264" t="s">
        <v>1618</v>
      </c>
      <c r="AR4" s="264" t="s">
        <v>1615</v>
      </c>
      <c r="AS4" s="264" t="s">
        <v>2247</v>
      </c>
      <c r="AT4" s="264" t="s">
        <v>2248</v>
      </c>
      <c r="AU4" s="264" t="s">
        <v>1571</v>
      </c>
      <c r="AV4" s="264" t="s">
        <v>1572</v>
      </c>
      <c r="AW4" s="292" t="s">
        <v>1573</v>
      </c>
      <c r="AX4" s="31"/>
      <c r="AY4" s="32"/>
      <c r="AZ4" s="32"/>
      <c r="BA4" s="32"/>
      <c r="BB4" s="32"/>
      <c r="BC4" s="32"/>
      <c r="BD4" s="267"/>
      <c r="BE4" s="25"/>
      <c r="BF4" s="26"/>
      <c r="BG4" s="26"/>
      <c r="BH4" s="26"/>
      <c r="BI4" s="205"/>
      <c r="BJ4" s="159"/>
    </row>
    <row r="5" s="311" customFormat="1" ht="27.75" hidden="1" customHeight="1" spans="1:63">
      <c r="A5" s="208">
        <f t="shared" ref="A5:A11" si="0">ROW()-3</f>
        <v>2</v>
      </c>
      <c r="B5" s="48" t="s">
        <v>2249</v>
      </c>
      <c r="C5" s="49" t="s">
        <v>325</v>
      </c>
      <c r="D5" s="50" t="s">
        <v>2250</v>
      </c>
      <c r="E5" s="50"/>
      <c r="F5" s="52">
        <v>45968</v>
      </c>
      <c r="G5" s="52">
        <v>46016</v>
      </c>
      <c r="H5" s="52">
        <v>46016</v>
      </c>
      <c r="I5" s="53">
        <v>45981</v>
      </c>
      <c r="J5" s="771">
        <v>152766</v>
      </c>
      <c r="K5" s="175">
        <v>18</v>
      </c>
      <c r="L5" s="772">
        <f>$J5/$K5*2</f>
        <v>16974</v>
      </c>
      <c r="M5" s="772">
        <f>$J5/$K5*2</f>
        <v>16974</v>
      </c>
      <c r="N5" s="772"/>
      <c r="O5" s="772">
        <f>$J5/$K5*2</f>
        <v>16974</v>
      </c>
      <c r="P5" s="772"/>
      <c r="Q5" s="772">
        <f>$J5/$K5*2</f>
        <v>16974</v>
      </c>
      <c r="R5" s="772">
        <f>$J5/$K5*2</f>
        <v>16974</v>
      </c>
      <c r="S5" s="772">
        <f>$J5/$K5*2</f>
        <v>16974</v>
      </c>
      <c r="T5" s="772">
        <f>$J5/$K5*2</f>
        <v>16974</v>
      </c>
      <c r="U5" s="175"/>
      <c r="V5" s="175"/>
      <c r="W5" s="175"/>
      <c r="X5" s="175"/>
      <c r="Y5" s="175"/>
      <c r="Z5" s="175"/>
      <c r="AA5" s="175"/>
      <c r="AB5" s="703"/>
      <c r="AC5" s="703"/>
      <c r="AD5" s="703"/>
      <c r="AE5" s="703"/>
      <c r="AF5" s="703"/>
      <c r="AG5" s="703"/>
      <c r="AH5" s="703"/>
      <c r="AI5" s="703"/>
      <c r="AJ5" s="703"/>
      <c r="AK5" s="703"/>
      <c r="AL5" s="703"/>
      <c r="AM5" s="703"/>
      <c r="AN5" s="703"/>
      <c r="AO5" s="703"/>
      <c r="AP5" s="703"/>
      <c r="AQ5" s="703"/>
      <c r="AR5" s="703"/>
      <c r="AS5" s="772">
        <f>$J5/$K5*2</f>
        <v>16974</v>
      </c>
      <c r="AT5" s="772">
        <f>$J5/$K5*2</f>
        <v>16974</v>
      </c>
      <c r="AU5" s="703"/>
      <c r="AV5" s="703"/>
      <c r="AW5" s="703"/>
      <c r="AX5" s="316" t="s">
        <v>809</v>
      </c>
      <c r="AY5" s="49" t="s">
        <v>81</v>
      </c>
      <c r="AZ5" s="48" t="s">
        <v>398</v>
      </c>
      <c r="BA5" s="48" t="s">
        <v>106</v>
      </c>
      <c r="BB5" s="48" t="s">
        <v>398</v>
      </c>
      <c r="BC5" s="316" t="s">
        <v>809</v>
      </c>
      <c r="BD5" s="48" t="s">
        <v>2104</v>
      </c>
      <c r="BE5" s="176">
        <v>46014</v>
      </c>
      <c r="BF5" s="211">
        <v>46014</v>
      </c>
      <c r="BG5" s="211">
        <v>46022</v>
      </c>
      <c r="BH5" s="211">
        <v>46031</v>
      </c>
      <c r="BI5" s="213" t="s">
        <v>2251</v>
      </c>
      <c r="BJ5" s="3" t="s">
        <v>2252</v>
      </c>
    </row>
    <row r="6" s="311" customFormat="1" ht="36.95" hidden="1" customHeight="1" spans="1:63">
      <c r="A6" s="208">
        <f t="shared" si="0"/>
        <v>3</v>
      </c>
      <c r="B6" s="48" t="s">
        <v>2009</v>
      </c>
      <c r="C6" s="49" t="s">
        <v>741</v>
      </c>
      <c r="D6" s="50" t="s">
        <v>2253</v>
      </c>
      <c r="E6" s="50"/>
      <c r="F6" s="52">
        <v>45967</v>
      </c>
      <c r="G6" s="52">
        <v>46028</v>
      </c>
      <c r="H6" s="52">
        <v>46028</v>
      </c>
      <c r="I6" s="53">
        <v>45975</v>
      </c>
      <c r="J6" s="771">
        <v>100008</v>
      </c>
      <c r="K6" s="175">
        <v>36</v>
      </c>
      <c r="L6" s="175"/>
      <c r="M6" s="772"/>
      <c r="N6" s="772"/>
      <c r="O6" s="772"/>
      <c r="P6" s="772"/>
      <c r="Q6" s="175"/>
      <c r="R6" s="175"/>
      <c r="S6" s="772"/>
      <c r="T6" s="772"/>
      <c r="U6" s="175"/>
      <c r="V6" s="175"/>
      <c r="W6" s="175"/>
      <c r="X6" s="175"/>
      <c r="Y6" s="175"/>
      <c r="Z6" s="175"/>
      <c r="AA6" s="175"/>
      <c r="AB6" s="703"/>
      <c r="AC6" s="703"/>
      <c r="AD6" s="703">
        <f>$J6/$K6*4</f>
        <v>11112</v>
      </c>
      <c r="AE6" s="703">
        <f>$J6/$K6*4</f>
        <v>11112</v>
      </c>
      <c r="AF6" s="703">
        <f>$J6/$K6*3</f>
        <v>8334</v>
      </c>
      <c r="AG6" s="703">
        <f>$J6/$K6*3</f>
        <v>8334</v>
      </c>
      <c r="AH6" s="703">
        <f>$J6/$K6*4</f>
        <v>11112</v>
      </c>
      <c r="AI6" s="703">
        <f>$J6/$K6*4</f>
        <v>11112</v>
      </c>
      <c r="AJ6" s="703">
        <f>$J6/$K6*5</f>
        <v>13890</v>
      </c>
      <c r="AK6" s="703">
        <f>$J6/$K6*4</f>
        <v>11112</v>
      </c>
      <c r="AL6" s="703">
        <f>$J6/$K6*5</f>
        <v>13890</v>
      </c>
      <c r="AM6" s="703"/>
      <c r="AN6" s="703"/>
      <c r="AO6" s="703"/>
      <c r="AP6" s="703"/>
      <c r="AQ6" s="703"/>
      <c r="AR6" s="703"/>
      <c r="AS6" s="703"/>
      <c r="AT6" s="703"/>
      <c r="AU6" s="703"/>
      <c r="AV6" s="703"/>
      <c r="AW6" s="703"/>
      <c r="AX6" s="316" t="s">
        <v>809</v>
      </c>
      <c r="AY6" s="49" t="s">
        <v>81</v>
      </c>
      <c r="AZ6" s="48" t="s">
        <v>2017</v>
      </c>
      <c r="BA6" s="48" t="s">
        <v>106</v>
      </c>
      <c r="BB6" s="48" t="s">
        <v>2017</v>
      </c>
      <c r="BC6" s="316" t="s">
        <v>809</v>
      </c>
      <c r="BD6" s="48" t="s">
        <v>2254</v>
      </c>
      <c r="BE6" s="176">
        <v>46026</v>
      </c>
      <c r="BF6" s="211">
        <v>46028</v>
      </c>
      <c r="BG6" s="211"/>
      <c r="BH6" s="211">
        <v>46125</v>
      </c>
      <c r="BI6" s="213" t="s">
        <v>2255</v>
      </c>
      <c r="BJ6" s="3" t="s">
        <v>2256</v>
      </c>
    </row>
    <row r="7" s="311" customFormat="1" ht="38.1" hidden="1" customHeight="1" spans="1:63">
      <c r="A7" s="208">
        <f t="shared" si="0"/>
        <v>4</v>
      </c>
      <c r="B7" s="48" t="s">
        <v>2023</v>
      </c>
      <c r="C7" s="49" t="s">
        <v>1674</v>
      </c>
      <c r="D7" s="51" t="s">
        <v>2257</v>
      </c>
      <c r="E7" s="51"/>
      <c r="F7" s="52">
        <v>45979</v>
      </c>
      <c r="G7" s="52">
        <v>46032</v>
      </c>
      <c r="H7" s="52">
        <v>46032</v>
      </c>
      <c r="I7" s="53">
        <v>45981</v>
      </c>
      <c r="J7" s="771">
        <v>3600</v>
      </c>
      <c r="K7" s="175">
        <v>18</v>
      </c>
      <c r="L7" s="175"/>
      <c r="M7" s="772"/>
      <c r="N7" s="772"/>
      <c r="O7" s="772"/>
      <c r="P7" s="772"/>
      <c r="Q7" s="175"/>
      <c r="R7" s="175"/>
      <c r="S7" s="772"/>
      <c r="T7" s="772"/>
      <c r="U7" s="175"/>
      <c r="V7" s="175"/>
      <c r="W7" s="175"/>
      <c r="X7" s="175"/>
      <c r="Y7" s="175"/>
      <c r="Z7" s="175"/>
      <c r="AA7" s="175"/>
      <c r="AB7" s="703"/>
      <c r="AC7" s="703"/>
      <c r="AD7" s="703">
        <f t="shared" ref="AD7:AL7" si="1">$J7/$K7*2</f>
        <v>400</v>
      </c>
      <c r="AE7" s="703">
        <f t="shared" si="1"/>
        <v>400</v>
      </c>
      <c r="AF7" s="703">
        <f t="shared" si="1"/>
        <v>400</v>
      </c>
      <c r="AG7" s="703">
        <f t="shared" si="1"/>
        <v>400</v>
      </c>
      <c r="AH7" s="703">
        <f t="shared" si="1"/>
        <v>400</v>
      </c>
      <c r="AI7" s="703">
        <f t="shared" si="1"/>
        <v>400</v>
      </c>
      <c r="AJ7" s="703">
        <f t="shared" si="1"/>
        <v>400</v>
      </c>
      <c r="AK7" s="703">
        <f t="shared" si="1"/>
        <v>400</v>
      </c>
      <c r="AL7" s="703">
        <f t="shared" si="1"/>
        <v>400</v>
      </c>
      <c r="AM7" s="703"/>
      <c r="AN7" s="703"/>
      <c r="AO7" s="703"/>
      <c r="AP7" s="703"/>
      <c r="AQ7" s="703"/>
      <c r="AR7" s="703"/>
      <c r="AS7" s="703"/>
      <c r="AT7" s="703"/>
      <c r="AU7" s="703"/>
      <c r="AV7" s="703"/>
      <c r="AW7" s="703"/>
      <c r="AX7" s="624" t="s">
        <v>2258</v>
      </c>
      <c r="AY7" s="49" t="s">
        <v>81</v>
      </c>
      <c r="AZ7" s="48" t="s">
        <v>2259</v>
      </c>
      <c r="BA7" s="48" t="s">
        <v>2084</v>
      </c>
      <c r="BB7" s="48" t="s">
        <v>2260</v>
      </c>
      <c r="BC7" s="773" t="s">
        <v>2258</v>
      </c>
      <c r="BD7" s="48" t="s">
        <v>2104</v>
      </c>
      <c r="BE7" s="176">
        <v>46030</v>
      </c>
      <c r="BF7" s="211">
        <v>46030</v>
      </c>
      <c r="BG7" s="211"/>
      <c r="BH7" s="211">
        <v>46039</v>
      </c>
      <c r="BI7" s="213" t="s">
        <v>2026</v>
      </c>
      <c r="BJ7" s="3" t="s">
        <v>2261</v>
      </c>
    </row>
    <row r="8" s="311" customFormat="1" ht="27.75" hidden="1" customHeight="1" spans="1:63">
      <c r="A8" s="208">
        <f t="shared" si="0"/>
        <v>5</v>
      </c>
      <c r="B8" s="48" t="s">
        <v>2023</v>
      </c>
      <c r="C8" s="49" t="s">
        <v>1674</v>
      </c>
      <c r="D8" s="50" t="s">
        <v>2024</v>
      </c>
      <c r="E8" s="50"/>
      <c r="F8" s="52">
        <v>45979</v>
      </c>
      <c r="G8" s="52">
        <v>46032</v>
      </c>
      <c r="H8" s="52">
        <v>46032</v>
      </c>
      <c r="I8" s="53">
        <v>45981</v>
      </c>
      <c r="J8" s="771">
        <v>3600</v>
      </c>
      <c r="K8" s="175">
        <v>18</v>
      </c>
      <c r="L8" s="175"/>
      <c r="M8" s="772"/>
      <c r="N8" s="772"/>
      <c r="O8" s="703">
        <f>$J8/$K8*2</f>
        <v>400</v>
      </c>
      <c r="P8" s="772"/>
      <c r="Q8" s="175"/>
      <c r="R8" s="175"/>
      <c r="S8" s="772"/>
      <c r="T8" s="772"/>
      <c r="U8" s="175"/>
      <c r="V8" s="175"/>
      <c r="W8" s="175"/>
      <c r="X8" s="175"/>
      <c r="Y8" s="175"/>
      <c r="Z8" s="175"/>
      <c r="AA8" s="175"/>
      <c r="AB8" s="703"/>
      <c r="AC8" s="703"/>
      <c r="AD8" s="703"/>
      <c r="AE8" s="703"/>
      <c r="AF8" s="703"/>
      <c r="AG8" s="703"/>
      <c r="AH8" s="703"/>
      <c r="AI8" s="703"/>
      <c r="AJ8" s="703"/>
      <c r="AK8" s="703"/>
      <c r="AL8" s="703"/>
      <c r="AM8" s="703">
        <f>$J8/$K8*3</f>
        <v>600</v>
      </c>
      <c r="AN8" s="703">
        <f>$J8/$K8*3</f>
        <v>600</v>
      </c>
      <c r="AO8" s="703">
        <f>$J8/$K8*3</f>
        <v>600</v>
      </c>
      <c r="AP8" s="703">
        <f>$J8/$K8*3</f>
        <v>600</v>
      </c>
      <c r="AQ8" s="703">
        <f>$J8/$K8*2</f>
        <v>400</v>
      </c>
      <c r="AR8" s="703">
        <f>$J8/$K8*2</f>
        <v>400</v>
      </c>
      <c r="AS8" s="703"/>
      <c r="AT8" s="703"/>
      <c r="AU8" s="703"/>
      <c r="AV8" s="703"/>
      <c r="AW8" s="703"/>
      <c r="AX8" s="316" t="s">
        <v>809</v>
      </c>
      <c r="AY8" s="49" t="s">
        <v>81</v>
      </c>
      <c r="AZ8" s="48" t="s">
        <v>2017</v>
      </c>
      <c r="BA8" s="48" t="s">
        <v>106</v>
      </c>
      <c r="BB8" s="48" t="s">
        <v>2262</v>
      </c>
      <c r="BC8" s="316" t="s">
        <v>809</v>
      </c>
      <c r="BD8" s="48" t="s">
        <v>2104</v>
      </c>
      <c r="BE8" s="176">
        <v>46030</v>
      </c>
      <c r="BF8" s="211">
        <v>46030</v>
      </c>
      <c r="BG8" s="211"/>
      <c r="BH8" s="211">
        <v>46039</v>
      </c>
      <c r="BI8" s="213" t="s">
        <v>2026</v>
      </c>
      <c r="BJ8" s="3" t="s">
        <v>2263</v>
      </c>
    </row>
    <row r="9" s="311" customFormat="1" ht="30" hidden="1" customHeight="1" spans="1:63">
      <c r="A9" s="208">
        <f t="shared" si="0"/>
        <v>6</v>
      </c>
      <c r="B9" s="48" t="s">
        <v>359</v>
      </c>
      <c r="C9" s="49" t="s">
        <v>2036</v>
      </c>
      <c r="D9" s="50" t="s">
        <v>2037</v>
      </c>
      <c r="E9" s="50"/>
      <c r="F9" s="52">
        <v>45981</v>
      </c>
      <c r="G9" s="52">
        <v>46036</v>
      </c>
      <c r="H9" s="52">
        <v>46036</v>
      </c>
      <c r="I9" s="53">
        <v>45981</v>
      </c>
      <c r="J9" s="771">
        <v>4014</v>
      </c>
      <c r="K9" s="175">
        <v>18</v>
      </c>
      <c r="L9" s="175">
        <f>J9/K9*3</f>
        <v>669</v>
      </c>
      <c r="M9" s="175">
        <f>J9/K9*3</f>
        <v>669</v>
      </c>
      <c r="N9" s="175"/>
      <c r="O9" s="175">
        <f>J9/K9*2</f>
        <v>446</v>
      </c>
      <c r="P9" s="175">
        <f>J9/K9*2</f>
        <v>446</v>
      </c>
      <c r="Q9" s="175">
        <f>J9/K9*2</f>
        <v>446</v>
      </c>
      <c r="R9" s="175">
        <f>J9/K9*2</f>
        <v>446</v>
      </c>
      <c r="S9" s="175">
        <f>J9/K9*2</f>
        <v>446</v>
      </c>
      <c r="T9" s="175">
        <f>J9/K9*2</f>
        <v>446</v>
      </c>
      <c r="U9" s="175"/>
      <c r="V9" s="175"/>
      <c r="W9" s="175"/>
      <c r="X9" s="175"/>
      <c r="Y9" s="175"/>
      <c r="Z9" s="175"/>
      <c r="AA9" s="175"/>
      <c r="AB9" s="703"/>
      <c r="AC9" s="703"/>
      <c r="AD9" s="703"/>
      <c r="AE9" s="703"/>
      <c r="AF9" s="703"/>
      <c r="AG9" s="703"/>
      <c r="AH9" s="703"/>
      <c r="AI9" s="703"/>
      <c r="AJ9" s="703"/>
      <c r="AK9" s="703"/>
      <c r="AL9" s="703"/>
      <c r="AM9" s="703"/>
      <c r="AN9" s="703"/>
      <c r="AO9" s="703"/>
      <c r="AP9" s="703"/>
      <c r="AQ9" s="703"/>
      <c r="AR9" s="703"/>
      <c r="AS9" s="703"/>
      <c r="AT9" s="703"/>
      <c r="AU9" s="703"/>
      <c r="AV9" s="703"/>
      <c r="AW9" s="703"/>
      <c r="AX9" s="624" t="s">
        <v>2038</v>
      </c>
      <c r="AY9" s="210" t="s">
        <v>104</v>
      </c>
      <c r="AZ9" s="48" t="s">
        <v>2017</v>
      </c>
      <c r="BA9" s="48" t="s">
        <v>106</v>
      </c>
      <c r="BB9" s="48" t="s">
        <v>120</v>
      </c>
      <c r="BC9" s="316" t="s">
        <v>809</v>
      </c>
      <c r="BD9" s="48" t="s">
        <v>2264</v>
      </c>
      <c r="BE9" s="176">
        <v>46034</v>
      </c>
      <c r="BF9" s="211">
        <v>46036</v>
      </c>
      <c r="BG9" s="211"/>
      <c r="BH9" s="211">
        <v>46039</v>
      </c>
      <c r="BI9" s="213" t="s">
        <v>2040</v>
      </c>
      <c r="BJ9" s="3" t="s">
        <v>2265</v>
      </c>
    </row>
    <row r="10" s="311" customFormat="1" ht="36" hidden="1" customHeight="1" spans="1:63">
      <c r="A10" s="208">
        <f t="shared" si="0"/>
        <v>7</v>
      </c>
      <c r="B10" s="48" t="s">
        <v>2266</v>
      </c>
      <c r="C10" s="49" t="s">
        <v>726</v>
      </c>
      <c r="D10" s="50" t="s">
        <v>2267</v>
      </c>
      <c r="E10" s="50"/>
      <c r="F10" s="52">
        <v>45985</v>
      </c>
      <c r="G10" s="52">
        <v>46044</v>
      </c>
      <c r="H10" s="52">
        <v>46044</v>
      </c>
      <c r="I10" s="53">
        <v>46007</v>
      </c>
      <c r="J10" s="771">
        <v>119040</v>
      </c>
      <c r="K10" s="175">
        <v>192</v>
      </c>
      <c r="L10" s="175">
        <f>$J10/$K10*16</f>
        <v>9920</v>
      </c>
      <c r="M10" s="175">
        <f>$J10/$K10*16</f>
        <v>9920</v>
      </c>
      <c r="N10" s="175">
        <f>$J10/$K10*16</f>
        <v>9920</v>
      </c>
      <c r="O10" s="175"/>
      <c r="P10" s="175"/>
      <c r="Q10" s="175">
        <f t="shared" ref="Q10:V10" si="2">$J10/$K10*16</f>
        <v>9920</v>
      </c>
      <c r="R10" s="175">
        <f t="shared" si="2"/>
        <v>9920</v>
      </c>
      <c r="S10" s="175">
        <f t="shared" si="2"/>
        <v>9920</v>
      </c>
      <c r="T10" s="175">
        <f t="shared" si="2"/>
        <v>9920</v>
      </c>
      <c r="U10" s="175">
        <f t="shared" si="2"/>
        <v>9920</v>
      </c>
      <c r="V10" s="175">
        <f t="shared" si="2"/>
        <v>9920</v>
      </c>
      <c r="W10" s="175"/>
      <c r="X10" s="175">
        <f>$J10/$K10*16</f>
        <v>9920</v>
      </c>
      <c r="Y10" s="175">
        <f>$J10/$K10*16</f>
        <v>9920</v>
      </c>
      <c r="Z10" s="175"/>
      <c r="AA10" s="175"/>
      <c r="AB10" s="703"/>
      <c r="AC10" s="703"/>
      <c r="AD10" s="703"/>
      <c r="AE10" s="703"/>
      <c r="AF10" s="703"/>
      <c r="AG10" s="703"/>
      <c r="AH10" s="703"/>
      <c r="AI10" s="703"/>
      <c r="AJ10" s="175">
        <f>$J10/$K10*16</f>
        <v>9920</v>
      </c>
      <c r="AK10" s="703"/>
      <c r="AL10" s="703"/>
      <c r="AM10" s="703"/>
      <c r="AN10" s="703"/>
      <c r="AO10" s="703"/>
      <c r="AP10" s="703"/>
      <c r="AQ10" s="703"/>
      <c r="AR10" s="703"/>
      <c r="AS10" s="703"/>
      <c r="AT10" s="703"/>
      <c r="AU10" s="703"/>
      <c r="AV10" s="703"/>
      <c r="AW10" s="703"/>
      <c r="AX10" s="624" t="s">
        <v>116</v>
      </c>
      <c r="AY10" s="210" t="s">
        <v>104</v>
      </c>
      <c r="AZ10" s="48" t="s">
        <v>2268</v>
      </c>
      <c r="BA10" s="48" t="s">
        <v>2025</v>
      </c>
      <c r="BB10" s="48" t="s">
        <v>424</v>
      </c>
      <c r="BC10" s="316" t="s">
        <v>116</v>
      </c>
      <c r="BD10" s="48" t="s">
        <v>2269</v>
      </c>
      <c r="BE10" s="176">
        <v>46042</v>
      </c>
      <c r="BF10" s="211">
        <v>46043</v>
      </c>
      <c r="BG10" s="211"/>
      <c r="BH10" s="211">
        <v>46057</v>
      </c>
      <c r="BI10" s="213" t="s">
        <v>2270</v>
      </c>
      <c r="BJ10" s="3" t="s">
        <v>2271</v>
      </c>
    </row>
    <row r="11" s="311" customFormat="1" ht="30" hidden="1" customHeight="1" spans="1:63">
      <c r="A11" s="208">
        <f t="shared" si="0"/>
        <v>8</v>
      </c>
      <c r="B11" s="48" t="s">
        <v>2272</v>
      </c>
      <c r="C11" s="49" t="s">
        <v>77</v>
      </c>
      <c r="D11" s="50" t="s">
        <v>2273</v>
      </c>
      <c r="E11" s="50"/>
      <c r="F11" s="52">
        <v>46000</v>
      </c>
      <c r="G11" s="52">
        <v>46046</v>
      </c>
      <c r="H11" s="52">
        <v>46046</v>
      </c>
      <c r="I11" s="53">
        <v>46000</v>
      </c>
      <c r="J11" s="774">
        <v>5004</v>
      </c>
      <c r="K11" s="175">
        <v>36</v>
      </c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703"/>
      <c r="AC11" s="703"/>
      <c r="AD11" s="703">
        <f>$J11/$K11*4</f>
        <v>556</v>
      </c>
      <c r="AE11" s="703">
        <f>$J11/$K11*4</f>
        <v>556</v>
      </c>
      <c r="AF11" s="703">
        <f>$J11/$K11*3</f>
        <v>417</v>
      </c>
      <c r="AG11" s="703">
        <f>$J11/$K11*3</f>
        <v>417</v>
      </c>
      <c r="AH11" s="703">
        <f>$J11/$K11*4</f>
        <v>556</v>
      </c>
      <c r="AI11" s="703">
        <f>$J11/$K11*4</f>
        <v>556</v>
      </c>
      <c r="AJ11" s="703">
        <f>$J11/$K11*5</f>
        <v>695</v>
      </c>
      <c r="AK11" s="703">
        <f>$J11/$K11*4</f>
        <v>556</v>
      </c>
      <c r="AL11" s="703">
        <f>$J11/$K11*5</f>
        <v>695</v>
      </c>
      <c r="AM11" s="703"/>
      <c r="AN11" s="703"/>
      <c r="AO11" s="703"/>
      <c r="AP11" s="703"/>
      <c r="AQ11" s="703"/>
      <c r="AR11" s="703"/>
      <c r="AS11" s="703"/>
      <c r="AT11" s="703"/>
      <c r="AU11" s="703"/>
      <c r="AV11" s="703"/>
      <c r="AW11" s="703"/>
      <c r="AX11" s="316" t="s">
        <v>809</v>
      </c>
      <c r="AY11" s="49" t="s">
        <v>81</v>
      </c>
      <c r="AZ11" s="48" t="s">
        <v>374</v>
      </c>
      <c r="BA11" s="48" t="s">
        <v>374</v>
      </c>
      <c r="BB11" s="48" t="s">
        <v>120</v>
      </c>
      <c r="BC11" s="316" t="s">
        <v>809</v>
      </c>
      <c r="BD11" s="48" t="s">
        <v>2274</v>
      </c>
      <c r="BE11" s="176">
        <v>46044</v>
      </c>
      <c r="BF11" s="211">
        <v>46044</v>
      </c>
      <c r="BG11" s="211"/>
      <c r="BH11" s="211">
        <v>46053</v>
      </c>
      <c r="BI11" s="775" t="s">
        <v>2275</v>
      </c>
      <c r="BJ11" s="3" t="s">
        <v>2276</v>
      </c>
    </row>
    <row r="12" s="311" customFormat="1" ht="39" hidden="1" customHeight="1" spans="1:63">
      <c r="A12" s="208">
        <f t="shared" ref="A12:A45" si="3">ROW()-3</f>
        <v>9</v>
      </c>
      <c r="B12" s="48" t="s">
        <v>2277</v>
      </c>
      <c r="C12" s="49" t="s">
        <v>466</v>
      </c>
      <c r="D12" s="50" t="s">
        <v>2278</v>
      </c>
      <c r="E12" s="50"/>
      <c r="F12" s="52">
        <v>45987</v>
      </c>
      <c r="G12" s="52">
        <v>46049</v>
      </c>
      <c r="H12" s="52">
        <v>46049</v>
      </c>
      <c r="I12" s="53">
        <v>46009</v>
      </c>
      <c r="J12" s="771">
        <v>1800</v>
      </c>
      <c r="K12" s="175">
        <v>36</v>
      </c>
      <c r="L12" s="175"/>
      <c r="M12" s="175"/>
      <c r="N12" s="175"/>
      <c r="O12" s="703">
        <f>$J12/$K12*4</f>
        <v>200</v>
      </c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703"/>
      <c r="AC12" s="703"/>
      <c r="AD12" s="703"/>
      <c r="AE12" s="703"/>
      <c r="AF12" s="703"/>
      <c r="AG12" s="703"/>
      <c r="AH12" s="703"/>
      <c r="AI12" s="703"/>
      <c r="AJ12" s="703"/>
      <c r="AK12" s="703"/>
      <c r="AL12" s="703"/>
      <c r="AM12" s="703">
        <f t="shared" ref="AM12:AP14" si="4">$J12/$K12*6</f>
        <v>300</v>
      </c>
      <c r="AN12" s="703">
        <f t="shared" si="4"/>
        <v>300</v>
      </c>
      <c r="AO12" s="703">
        <f t="shared" si="4"/>
        <v>300</v>
      </c>
      <c r="AP12" s="703">
        <f t="shared" si="4"/>
        <v>300</v>
      </c>
      <c r="AQ12" s="703">
        <f t="shared" ref="AQ12:AR14" si="5">$J12/$K12*4</f>
        <v>200</v>
      </c>
      <c r="AR12" s="703">
        <f t="shared" si="5"/>
        <v>200</v>
      </c>
      <c r="AS12" s="703"/>
      <c r="AT12" s="703"/>
      <c r="AU12" s="703"/>
      <c r="AV12" s="703"/>
      <c r="AW12" s="703"/>
      <c r="AX12" s="322" t="s">
        <v>116</v>
      </c>
      <c r="AY12" s="49" t="s">
        <v>81</v>
      </c>
      <c r="AZ12" s="48" t="s">
        <v>214</v>
      </c>
      <c r="BA12" s="48"/>
      <c r="BB12" s="48" t="s">
        <v>2059</v>
      </c>
      <c r="BC12" s="316" t="s">
        <v>116</v>
      </c>
      <c r="BD12" s="48" t="s">
        <v>2279</v>
      </c>
      <c r="BE12" s="176">
        <v>46047</v>
      </c>
      <c r="BF12" s="211">
        <v>46051</v>
      </c>
      <c r="BG12" s="317"/>
      <c r="BH12" s="211">
        <v>46058</v>
      </c>
      <c r="BI12" s="213" t="s">
        <v>2280</v>
      </c>
      <c r="BJ12" s="159" t="s">
        <v>2281</v>
      </c>
    </row>
    <row r="13" s="311" customFormat="1" ht="39" hidden="1" customHeight="1" spans="1:63">
      <c r="A13" s="208">
        <f t="shared" si="3"/>
        <v>10</v>
      </c>
      <c r="B13" s="48" t="s">
        <v>2063</v>
      </c>
      <c r="C13" s="49" t="s">
        <v>466</v>
      </c>
      <c r="D13" s="50" t="s">
        <v>2282</v>
      </c>
      <c r="E13" s="50"/>
      <c r="F13" s="52">
        <v>45987</v>
      </c>
      <c r="G13" s="52">
        <v>46049</v>
      </c>
      <c r="H13" s="52">
        <v>46049</v>
      </c>
      <c r="I13" s="53">
        <v>46009</v>
      </c>
      <c r="J13" s="771">
        <v>1440</v>
      </c>
      <c r="K13" s="175">
        <v>36</v>
      </c>
      <c r="L13" s="175"/>
      <c r="M13" s="175"/>
      <c r="N13" s="175"/>
      <c r="O13" s="703">
        <f>$J13/$K13*4</f>
        <v>160</v>
      </c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  <c r="AB13" s="703"/>
      <c r="AC13" s="703"/>
      <c r="AD13" s="703"/>
      <c r="AE13" s="703"/>
      <c r="AF13" s="703"/>
      <c r="AG13" s="703"/>
      <c r="AH13" s="703"/>
      <c r="AI13" s="703"/>
      <c r="AJ13" s="703"/>
      <c r="AK13" s="703"/>
      <c r="AL13" s="703"/>
      <c r="AM13" s="703">
        <f t="shared" si="4"/>
        <v>240</v>
      </c>
      <c r="AN13" s="703">
        <f t="shared" si="4"/>
        <v>240</v>
      </c>
      <c r="AO13" s="703">
        <f t="shared" si="4"/>
        <v>240</v>
      </c>
      <c r="AP13" s="703">
        <f t="shared" si="4"/>
        <v>240</v>
      </c>
      <c r="AQ13" s="703">
        <f t="shared" si="5"/>
        <v>160</v>
      </c>
      <c r="AR13" s="703">
        <f t="shared" si="5"/>
        <v>160</v>
      </c>
      <c r="AS13" s="703"/>
      <c r="AT13" s="703"/>
      <c r="AU13" s="703"/>
      <c r="AV13" s="703"/>
      <c r="AW13" s="703"/>
      <c r="AX13" s="322" t="s">
        <v>116</v>
      </c>
      <c r="AY13" s="49" t="s">
        <v>81</v>
      </c>
      <c r="AZ13" s="48" t="s">
        <v>214</v>
      </c>
      <c r="BA13" s="48"/>
      <c r="BB13" s="48" t="s">
        <v>2059</v>
      </c>
      <c r="BC13" s="316" t="s">
        <v>116</v>
      </c>
      <c r="BD13" s="48" t="s">
        <v>2279</v>
      </c>
      <c r="BE13" s="176">
        <v>46047</v>
      </c>
      <c r="BF13" s="211">
        <v>46051</v>
      </c>
      <c r="BG13" s="317"/>
      <c r="BH13" s="211">
        <v>46058</v>
      </c>
      <c r="BI13" s="213" t="s">
        <v>2283</v>
      </c>
      <c r="BJ13" s="159" t="s">
        <v>2281</v>
      </c>
    </row>
    <row r="14" s="311" customFormat="1" ht="39" hidden="1" customHeight="1" spans="1:63">
      <c r="A14" s="208">
        <f t="shared" si="3"/>
        <v>11</v>
      </c>
      <c r="B14" s="48" t="s">
        <v>2066</v>
      </c>
      <c r="C14" s="49" t="s">
        <v>466</v>
      </c>
      <c r="D14" s="50" t="s">
        <v>2284</v>
      </c>
      <c r="E14" s="50"/>
      <c r="F14" s="52">
        <v>45987</v>
      </c>
      <c r="G14" s="52">
        <v>46049</v>
      </c>
      <c r="H14" s="52">
        <v>46049</v>
      </c>
      <c r="I14" s="53">
        <v>46009</v>
      </c>
      <c r="J14" s="771">
        <v>360</v>
      </c>
      <c r="K14" s="175">
        <v>36</v>
      </c>
      <c r="L14" s="175"/>
      <c r="M14" s="175"/>
      <c r="N14" s="175"/>
      <c r="O14" s="703">
        <f>$J14/$K14*4</f>
        <v>40</v>
      </c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703"/>
      <c r="AC14" s="703"/>
      <c r="AD14" s="703"/>
      <c r="AE14" s="703"/>
      <c r="AF14" s="703"/>
      <c r="AG14" s="703"/>
      <c r="AH14" s="703"/>
      <c r="AI14" s="703"/>
      <c r="AJ14" s="703"/>
      <c r="AK14" s="703"/>
      <c r="AL14" s="703"/>
      <c r="AM14" s="703">
        <f t="shared" si="4"/>
        <v>60</v>
      </c>
      <c r="AN14" s="703">
        <f t="shared" si="4"/>
        <v>60</v>
      </c>
      <c r="AO14" s="703">
        <f t="shared" si="4"/>
        <v>60</v>
      </c>
      <c r="AP14" s="703">
        <f t="shared" si="4"/>
        <v>60</v>
      </c>
      <c r="AQ14" s="703">
        <f t="shared" si="5"/>
        <v>40</v>
      </c>
      <c r="AR14" s="703">
        <f t="shared" si="5"/>
        <v>40</v>
      </c>
      <c r="AS14" s="703"/>
      <c r="AT14" s="703"/>
      <c r="AU14" s="703"/>
      <c r="AV14" s="703"/>
      <c r="AW14" s="703"/>
      <c r="AX14" s="322" t="s">
        <v>116</v>
      </c>
      <c r="AY14" s="49" t="s">
        <v>81</v>
      </c>
      <c r="AZ14" s="48" t="s">
        <v>214</v>
      </c>
      <c r="BA14" s="48"/>
      <c r="BB14" s="48" t="s">
        <v>2059</v>
      </c>
      <c r="BC14" s="316" t="s">
        <v>116</v>
      </c>
      <c r="BD14" s="48" t="s">
        <v>2285</v>
      </c>
      <c r="BE14" s="176">
        <v>46047</v>
      </c>
      <c r="BF14" s="211">
        <v>46051</v>
      </c>
      <c r="BG14" s="317"/>
      <c r="BH14" s="211">
        <v>46058</v>
      </c>
      <c r="BI14" s="213" t="s">
        <v>2286</v>
      </c>
      <c r="BJ14" s="159" t="s">
        <v>2281</v>
      </c>
    </row>
    <row r="15" s="311" customFormat="1" ht="39" hidden="1" customHeight="1" spans="1:63">
      <c r="A15" s="208">
        <f t="shared" si="3"/>
        <v>12</v>
      </c>
      <c r="B15" s="48" t="s">
        <v>2287</v>
      </c>
      <c r="C15" s="49" t="s">
        <v>466</v>
      </c>
      <c r="D15" s="50" t="s">
        <v>2288</v>
      </c>
      <c r="E15" s="50"/>
      <c r="F15" s="52">
        <v>45987</v>
      </c>
      <c r="G15" s="52">
        <v>46049</v>
      </c>
      <c r="H15" s="52">
        <v>46049</v>
      </c>
      <c r="I15" s="53">
        <v>46009</v>
      </c>
      <c r="J15" s="774">
        <v>144</v>
      </c>
      <c r="K15" s="175">
        <v>48</v>
      </c>
      <c r="L15" s="175"/>
      <c r="M15" s="175"/>
      <c r="N15" s="175"/>
      <c r="O15" s="703">
        <f>$J15/$K15*5</f>
        <v>15</v>
      </c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703"/>
      <c r="AC15" s="703"/>
      <c r="AD15" s="703"/>
      <c r="AE15" s="703"/>
      <c r="AF15" s="703"/>
      <c r="AG15" s="703"/>
      <c r="AH15" s="703"/>
      <c r="AI15" s="703"/>
      <c r="AJ15" s="703"/>
      <c r="AK15" s="703"/>
      <c r="AL15" s="703"/>
      <c r="AM15" s="703">
        <f t="shared" ref="AM15:AP16" si="6">$J15/$K15*8</f>
        <v>24</v>
      </c>
      <c r="AN15" s="703">
        <f t="shared" si="6"/>
        <v>24</v>
      </c>
      <c r="AO15" s="703">
        <f t="shared" si="6"/>
        <v>24</v>
      </c>
      <c r="AP15" s="703">
        <f t="shared" si="6"/>
        <v>24</v>
      </c>
      <c r="AQ15" s="703">
        <f>$J15/$K15*6</f>
        <v>18</v>
      </c>
      <c r="AR15" s="703">
        <f>$J15/$K15*5</f>
        <v>15</v>
      </c>
      <c r="AS15" s="703"/>
      <c r="AT15" s="703"/>
      <c r="AU15" s="703"/>
      <c r="AV15" s="703"/>
      <c r="AW15" s="703"/>
      <c r="AX15" s="322" t="s">
        <v>116</v>
      </c>
      <c r="AY15" s="49" t="s">
        <v>81</v>
      </c>
      <c r="AZ15" s="48" t="s">
        <v>214</v>
      </c>
      <c r="BA15" s="48"/>
      <c r="BB15" s="48" t="s">
        <v>2059</v>
      </c>
      <c r="BC15" s="316" t="s">
        <v>116</v>
      </c>
      <c r="BD15" s="48" t="s">
        <v>2072</v>
      </c>
      <c r="BE15" s="176">
        <v>46047</v>
      </c>
      <c r="BF15" s="211">
        <v>46051</v>
      </c>
      <c r="BG15" s="317"/>
      <c r="BH15" s="211">
        <v>46058</v>
      </c>
      <c r="BI15" s="213" t="s">
        <v>2289</v>
      </c>
      <c r="BJ15" s="159" t="s">
        <v>2290</v>
      </c>
    </row>
    <row r="16" s="311" customFormat="1" ht="39" hidden="1" customHeight="1" spans="1:63">
      <c r="A16" s="208">
        <f t="shared" si="3"/>
        <v>13</v>
      </c>
      <c r="B16" s="48" t="s">
        <v>2291</v>
      </c>
      <c r="C16" s="49" t="s">
        <v>466</v>
      </c>
      <c r="D16" s="50" t="s">
        <v>2292</v>
      </c>
      <c r="E16" s="50"/>
      <c r="F16" s="52">
        <v>45987</v>
      </c>
      <c r="G16" s="52">
        <v>46049</v>
      </c>
      <c r="H16" s="52">
        <v>46049</v>
      </c>
      <c r="I16" s="53">
        <v>46009</v>
      </c>
      <c r="J16" s="774">
        <v>288</v>
      </c>
      <c r="K16" s="175">
        <v>48</v>
      </c>
      <c r="L16" s="175"/>
      <c r="M16" s="175"/>
      <c r="N16" s="175"/>
      <c r="O16" s="703">
        <f>$J16/$K16*5</f>
        <v>30</v>
      </c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703"/>
      <c r="AC16" s="703"/>
      <c r="AD16" s="703"/>
      <c r="AE16" s="703"/>
      <c r="AF16" s="703"/>
      <c r="AG16" s="703"/>
      <c r="AH16" s="703"/>
      <c r="AI16" s="703"/>
      <c r="AJ16" s="703"/>
      <c r="AK16" s="703"/>
      <c r="AL16" s="703"/>
      <c r="AM16" s="703">
        <f t="shared" si="6"/>
        <v>48</v>
      </c>
      <c r="AN16" s="703">
        <f t="shared" si="6"/>
        <v>48</v>
      </c>
      <c r="AO16" s="703">
        <f t="shared" si="6"/>
        <v>48</v>
      </c>
      <c r="AP16" s="703">
        <f t="shared" si="6"/>
        <v>48</v>
      </c>
      <c r="AQ16" s="703">
        <f>$J16/$K16*6</f>
        <v>36</v>
      </c>
      <c r="AR16" s="703">
        <f>$J16/$K16*5</f>
        <v>30</v>
      </c>
      <c r="AS16" s="703"/>
      <c r="AT16" s="703"/>
      <c r="AU16" s="703"/>
      <c r="AV16" s="703"/>
      <c r="AW16" s="703"/>
      <c r="AX16" s="322" t="s">
        <v>116</v>
      </c>
      <c r="AY16" s="49" t="s">
        <v>81</v>
      </c>
      <c r="AZ16" s="48" t="s">
        <v>214</v>
      </c>
      <c r="BA16" s="48"/>
      <c r="BB16" s="48" t="s">
        <v>2059</v>
      </c>
      <c r="BC16" s="316" t="s">
        <v>116</v>
      </c>
      <c r="BD16" s="48" t="s">
        <v>2072</v>
      </c>
      <c r="BE16" s="176">
        <v>46047</v>
      </c>
      <c r="BF16" s="211">
        <v>46051</v>
      </c>
      <c r="BG16" s="317"/>
      <c r="BH16" s="211">
        <v>46058</v>
      </c>
      <c r="BI16" s="213" t="s">
        <v>2293</v>
      </c>
      <c r="BJ16" s="159" t="s">
        <v>2290</v>
      </c>
    </row>
    <row r="17" s="311" customFormat="1" ht="39" hidden="1" customHeight="1" spans="1:63">
      <c r="A17" s="208">
        <f t="shared" si="3"/>
        <v>14</v>
      </c>
      <c r="B17" s="48" t="s">
        <v>359</v>
      </c>
      <c r="C17" s="49" t="s">
        <v>360</v>
      </c>
      <c r="D17" s="50" t="s">
        <v>2077</v>
      </c>
      <c r="E17" s="50" t="s">
        <v>2078</v>
      </c>
      <c r="F17" s="52">
        <v>45993</v>
      </c>
      <c r="G17" s="52">
        <v>46059</v>
      </c>
      <c r="H17" s="52">
        <v>46059</v>
      </c>
      <c r="I17" s="53">
        <v>45993</v>
      </c>
      <c r="J17" s="327">
        <v>10008</v>
      </c>
      <c r="K17" s="175">
        <v>18</v>
      </c>
      <c r="L17" s="175">
        <f>J17/K17*3</f>
        <v>1668</v>
      </c>
      <c r="M17" s="175">
        <f>J17/K17*3</f>
        <v>1668</v>
      </c>
      <c r="N17" s="175"/>
      <c r="O17" s="175">
        <f>J17/K17*2</f>
        <v>1112</v>
      </c>
      <c r="P17" s="175">
        <f>J17/K17*2</f>
        <v>1112</v>
      </c>
      <c r="Q17" s="175">
        <f>J17/K17*2</f>
        <v>1112</v>
      </c>
      <c r="R17" s="175">
        <f>J17/K17*2</f>
        <v>1112</v>
      </c>
      <c r="S17" s="175">
        <f>J17/K17*2</f>
        <v>1112</v>
      </c>
      <c r="T17" s="175">
        <f>J17/K17*2</f>
        <v>1112</v>
      </c>
      <c r="U17" s="175"/>
      <c r="V17" s="175"/>
      <c r="W17" s="175"/>
      <c r="X17" s="175"/>
      <c r="Y17" s="175"/>
      <c r="Z17" s="175"/>
      <c r="AA17" s="175"/>
      <c r="AB17" s="703"/>
      <c r="AC17" s="703"/>
      <c r="AD17" s="703"/>
      <c r="AE17" s="703"/>
      <c r="AF17" s="703"/>
      <c r="AG17" s="703"/>
      <c r="AH17" s="703"/>
      <c r="AI17" s="703"/>
      <c r="AJ17" s="703"/>
      <c r="AK17" s="703"/>
      <c r="AL17" s="703"/>
      <c r="AM17" s="703"/>
      <c r="AN17" s="703"/>
      <c r="AO17" s="703"/>
      <c r="AP17" s="703"/>
      <c r="AQ17" s="703"/>
      <c r="AR17" s="703"/>
      <c r="AS17" s="703"/>
      <c r="AT17" s="703"/>
      <c r="AU17" s="703"/>
      <c r="AV17" s="703"/>
      <c r="AW17" s="703"/>
      <c r="AX17" s="322" t="s">
        <v>2038</v>
      </c>
      <c r="AY17" s="210" t="s">
        <v>104</v>
      </c>
      <c r="AZ17" s="48" t="s">
        <v>2079</v>
      </c>
      <c r="BA17" s="48"/>
      <c r="BB17" s="48" t="s">
        <v>365</v>
      </c>
      <c r="BC17" s="316" t="s">
        <v>363</v>
      </c>
      <c r="BD17" s="48" t="s">
        <v>2294</v>
      </c>
      <c r="BE17" s="176">
        <v>46057</v>
      </c>
      <c r="BF17" s="211">
        <v>46057</v>
      </c>
      <c r="BG17" s="317"/>
      <c r="BH17" s="211">
        <v>46059</v>
      </c>
      <c r="BI17" s="213" t="s">
        <v>2081</v>
      </c>
      <c r="BJ17" s="159" t="s">
        <v>2265</v>
      </c>
    </row>
    <row r="18" s="311" customFormat="1" ht="27.75" hidden="1" customHeight="1" spans="1:63">
      <c r="A18" s="208">
        <f t="shared" si="3"/>
        <v>15</v>
      </c>
      <c r="B18" s="48" t="s">
        <v>2295</v>
      </c>
      <c r="C18" s="49" t="s">
        <v>645</v>
      </c>
      <c r="D18" s="50" t="s">
        <v>2296</v>
      </c>
      <c r="E18" s="50" t="s">
        <v>2297</v>
      </c>
      <c r="F18" s="52">
        <v>46006</v>
      </c>
      <c r="G18" s="52">
        <v>46062</v>
      </c>
      <c r="H18" s="52">
        <v>46062</v>
      </c>
      <c r="I18" s="53">
        <v>46006</v>
      </c>
      <c r="J18" s="771">
        <v>20016</v>
      </c>
      <c r="K18" s="175">
        <v>18</v>
      </c>
      <c r="L18" s="175">
        <f>J18/K18*3</f>
        <v>3336</v>
      </c>
      <c r="M18" s="175">
        <f>J18/K18*3</f>
        <v>3336</v>
      </c>
      <c r="N18" s="175"/>
      <c r="O18" s="175">
        <f>J18/K18*2</f>
        <v>2224</v>
      </c>
      <c r="P18" s="175">
        <f>J18/K18*2</f>
        <v>2224</v>
      </c>
      <c r="Q18" s="175">
        <f>J18/K18*2</f>
        <v>2224</v>
      </c>
      <c r="R18" s="175">
        <f>J18/K18*2</f>
        <v>2224</v>
      </c>
      <c r="S18" s="175">
        <f>J18/K18*2</f>
        <v>2224</v>
      </c>
      <c r="T18" s="175">
        <f>J18/K18*2</f>
        <v>2224</v>
      </c>
      <c r="U18" s="175"/>
      <c r="V18" s="175"/>
      <c r="W18" s="175"/>
      <c r="X18" s="175"/>
      <c r="Y18" s="175"/>
      <c r="Z18" s="175"/>
      <c r="AA18" s="175"/>
      <c r="AB18" s="703"/>
      <c r="AC18" s="703"/>
      <c r="AD18" s="703"/>
      <c r="AE18" s="703"/>
      <c r="AF18" s="703"/>
      <c r="AG18" s="703"/>
      <c r="AH18" s="703"/>
      <c r="AI18" s="703"/>
      <c r="AJ18" s="703"/>
      <c r="AK18" s="703"/>
      <c r="AL18" s="703"/>
      <c r="AM18" s="703"/>
      <c r="AN18" s="703"/>
      <c r="AO18" s="703"/>
      <c r="AP18" s="703"/>
      <c r="AQ18" s="703"/>
      <c r="AR18" s="703"/>
      <c r="AS18" s="703"/>
      <c r="AT18" s="703"/>
      <c r="AU18" s="703"/>
      <c r="AV18" s="703"/>
      <c r="AW18" s="703"/>
      <c r="AX18" s="739" t="s">
        <v>363</v>
      </c>
      <c r="AY18" s="210" t="s">
        <v>104</v>
      </c>
      <c r="AZ18" s="48" t="s">
        <v>2079</v>
      </c>
      <c r="BA18" s="48"/>
      <c r="BB18" s="48" t="s">
        <v>365</v>
      </c>
      <c r="BC18" s="316" t="s">
        <v>363</v>
      </c>
      <c r="BD18" s="48" t="s">
        <v>2298</v>
      </c>
      <c r="BE18" s="176">
        <v>46060</v>
      </c>
      <c r="BF18" s="211">
        <v>46057</v>
      </c>
      <c r="BG18" s="211"/>
      <c r="BH18" s="317">
        <v>46090</v>
      </c>
      <c r="BI18" s="213"/>
      <c r="BJ18" s="3" t="s">
        <v>2265</v>
      </c>
    </row>
    <row r="19" s="311" customFormat="1" ht="34.5" hidden="1" customHeight="1" spans="1:63">
      <c r="A19" s="208">
        <f t="shared" si="3"/>
        <v>16</v>
      </c>
      <c r="B19" s="48" t="s">
        <v>100</v>
      </c>
      <c r="C19" s="49" t="s">
        <v>101</v>
      </c>
      <c r="D19" s="49" t="s">
        <v>2299</v>
      </c>
      <c r="E19" s="49" t="s">
        <v>2300</v>
      </c>
      <c r="F19" s="53">
        <v>45877</v>
      </c>
      <c r="G19" s="53">
        <v>45918</v>
      </c>
      <c r="H19" s="53">
        <v>46082</v>
      </c>
      <c r="I19" s="53">
        <v>45945</v>
      </c>
      <c r="J19" s="771">
        <f>SUM(L19:AW19)</f>
        <v>50310</v>
      </c>
      <c r="K19" s="175">
        <v>18</v>
      </c>
      <c r="L19" s="175">
        <v>9360</v>
      </c>
      <c r="M19" s="175"/>
      <c r="N19" s="175"/>
      <c r="O19" s="175"/>
      <c r="P19" s="175"/>
      <c r="Q19" s="175"/>
      <c r="R19" s="175"/>
      <c r="S19" s="175"/>
      <c r="T19" s="175">
        <v>7020</v>
      </c>
      <c r="U19" s="175"/>
      <c r="V19" s="175"/>
      <c r="W19" s="175"/>
      <c r="X19" s="175"/>
      <c r="Y19" s="175">
        <v>9360</v>
      </c>
      <c r="Z19" s="175"/>
      <c r="AA19" s="175">
        <v>10530</v>
      </c>
      <c r="AB19" s="703"/>
      <c r="AC19" s="703"/>
      <c r="AD19" s="703"/>
      <c r="AE19" s="703"/>
      <c r="AF19" s="703"/>
      <c r="AG19" s="703"/>
      <c r="AH19" s="703"/>
      <c r="AI19" s="703"/>
      <c r="AJ19" s="703"/>
      <c r="AK19" s="703"/>
      <c r="AL19" s="703"/>
      <c r="AM19" s="703"/>
      <c r="AN19" s="703"/>
      <c r="AO19" s="703"/>
      <c r="AP19" s="703"/>
      <c r="AQ19" s="703"/>
      <c r="AR19" s="703"/>
      <c r="AS19" s="703"/>
      <c r="AT19" s="703"/>
      <c r="AU19" s="703">
        <v>7020</v>
      </c>
      <c r="AV19" s="703">
        <v>3510</v>
      </c>
      <c r="AW19" s="703">
        <v>3510</v>
      </c>
      <c r="AX19" s="776" t="s">
        <v>2044</v>
      </c>
      <c r="AY19" s="49" t="s">
        <v>81</v>
      </c>
      <c r="AZ19" s="48" t="s">
        <v>2259</v>
      </c>
      <c r="BA19" s="48" t="s">
        <v>2084</v>
      </c>
      <c r="BB19" s="48" t="s">
        <v>275</v>
      </c>
      <c r="BC19" s="777" t="s">
        <v>2044</v>
      </c>
      <c r="BD19" s="48" t="s">
        <v>2301</v>
      </c>
      <c r="BE19" s="176" t="s">
        <v>1125</v>
      </c>
      <c r="BF19" s="211">
        <v>46058</v>
      </c>
      <c r="BG19" s="211"/>
      <c r="BH19" s="211">
        <v>46083</v>
      </c>
      <c r="BI19" s="48" t="s">
        <v>2302</v>
      </c>
      <c r="BJ19" s="159" t="s">
        <v>2303</v>
      </c>
      <c r="BK19" s="311" t="s">
        <v>2304</v>
      </c>
    </row>
    <row r="20" s="311" customFormat="1" ht="34.5" hidden="1" customHeight="1" spans="1:63">
      <c r="A20" s="208">
        <f t="shared" si="3"/>
        <v>17</v>
      </c>
      <c r="B20" s="48" t="s">
        <v>100</v>
      </c>
      <c r="C20" s="49" t="s">
        <v>101</v>
      </c>
      <c r="D20" s="49" t="s">
        <v>2082</v>
      </c>
      <c r="E20" s="49" t="s">
        <v>2083</v>
      </c>
      <c r="F20" s="53">
        <v>45877</v>
      </c>
      <c r="G20" s="53">
        <v>45918</v>
      </c>
      <c r="H20" s="53">
        <v>46082</v>
      </c>
      <c r="I20" s="53">
        <v>45945</v>
      </c>
      <c r="J20" s="771">
        <f>SUM(L20:AW20)</f>
        <v>43290</v>
      </c>
      <c r="K20" s="175">
        <v>18</v>
      </c>
      <c r="L20" s="175"/>
      <c r="M20" s="175">
        <v>11700</v>
      </c>
      <c r="N20" s="175"/>
      <c r="O20" s="175">
        <v>2340</v>
      </c>
      <c r="P20" s="175"/>
      <c r="Q20" s="175"/>
      <c r="R20" s="175">
        <v>7020</v>
      </c>
      <c r="S20" s="175">
        <v>8190</v>
      </c>
      <c r="T20" s="175"/>
      <c r="U20" s="175">
        <v>7020</v>
      </c>
      <c r="V20" s="175">
        <v>7020</v>
      </c>
      <c r="W20" s="175"/>
      <c r="X20" s="175"/>
      <c r="Y20" s="175"/>
      <c r="Z20" s="175"/>
      <c r="AA20" s="175"/>
      <c r="AB20" s="703"/>
      <c r="AC20" s="703"/>
      <c r="AD20" s="703"/>
      <c r="AE20" s="703"/>
      <c r="AF20" s="703"/>
      <c r="AG20" s="703"/>
      <c r="AH20" s="703"/>
      <c r="AI20" s="703"/>
      <c r="AJ20" s="703"/>
      <c r="AK20" s="703"/>
      <c r="AL20" s="703"/>
      <c r="AM20" s="703"/>
      <c r="AN20" s="703"/>
      <c r="AO20" s="703"/>
      <c r="AP20" s="703"/>
      <c r="AQ20" s="703"/>
      <c r="AR20" s="703"/>
      <c r="AS20" s="703"/>
      <c r="AT20" s="703"/>
      <c r="AU20" s="703"/>
      <c r="AV20" s="703"/>
      <c r="AW20" s="703"/>
      <c r="AX20" s="322" t="s">
        <v>2044</v>
      </c>
      <c r="AY20" s="49" t="s">
        <v>81</v>
      </c>
      <c r="AZ20" s="48" t="s">
        <v>2259</v>
      </c>
      <c r="BA20" s="48" t="s">
        <v>2084</v>
      </c>
      <c r="BB20" s="48" t="s">
        <v>275</v>
      </c>
      <c r="BC20" s="624" t="s">
        <v>2044</v>
      </c>
      <c r="BD20" s="48" t="s">
        <v>2085</v>
      </c>
      <c r="BE20" s="176">
        <v>46081</v>
      </c>
      <c r="BF20" s="211">
        <v>46058</v>
      </c>
      <c r="BG20" s="211"/>
      <c r="BH20" s="211">
        <v>46098</v>
      </c>
      <c r="BI20" s="48" t="s">
        <v>2086</v>
      </c>
      <c r="BJ20" s="159" t="s">
        <v>2305</v>
      </c>
      <c r="BK20" s="311" t="s">
        <v>2304</v>
      </c>
    </row>
    <row r="21" s="311" customFormat="1" ht="27.75" hidden="1" customHeight="1" spans="1:63">
      <c r="A21" s="208">
        <f t="shared" si="3"/>
        <v>18</v>
      </c>
      <c r="B21" s="48" t="s">
        <v>1736</v>
      </c>
      <c r="C21" s="49" t="s">
        <v>486</v>
      </c>
      <c r="D21" s="50" t="s">
        <v>2306</v>
      </c>
      <c r="E21" s="49" t="s">
        <v>2307</v>
      </c>
      <c r="F21" s="52">
        <v>45981</v>
      </c>
      <c r="G21" s="52">
        <v>46084</v>
      </c>
      <c r="H21" s="52">
        <v>46084</v>
      </c>
      <c r="I21" s="53">
        <v>45981</v>
      </c>
      <c r="J21" s="771">
        <v>10008</v>
      </c>
      <c r="K21" s="175">
        <v>18</v>
      </c>
      <c r="L21" s="175">
        <f>J21/K21*3</f>
        <v>1668</v>
      </c>
      <c r="M21" s="175">
        <f>J21/K21*3</f>
        <v>1668</v>
      </c>
      <c r="N21" s="175"/>
      <c r="O21" s="175">
        <f>J21/K21*2</f>
        <v>1112</v>
      </c>
      <c r="P21" s="175">
        <f>J21/K21*2</f>
        <v>1112</v>
      </c>
      <c r="Q21" s="175">
        <f>J21/K21*2</f>
        <v>1112</v>
      </c>
      <c r="R21" s="175">
        <f>J21/K21*2</f>
        <v>1112</v>
      </c>
      <c r="S21" s="175">
        <f>J21/K21*2</f>
        <v>1112</v>
      </c>
      <c r="T21" s="175">
        <f>J21/K21*2</f>
        <v>1112</v>
      </c>
      <c r="U21" s="175"/>
      <c r="V21" s="175"/>
      <c r="W21" s="175"/>
      <c r="X21" s="175"/>
      <c r="Y21" s="175"/>
      <c r="Z21" s="175"/>
      <c r="AA21" s="175"/>
      <c r="AB21" s="703"/>
      <c r="AC21" s="703"/>
      <c r="AD21" s="703"/>
      <c r="AE21" s="703"/>
      <c r="AF21" s="703"/>
      <c r="AG21" s="703"/>
      <c r="AH21" s="703"/>
      <c r="AI21" s="703"/>
      <c r="AJ21" s="703"/>
      <c r="AK21" s="703"/>
      <c r="AL21" s="703"/>
      <c r="AM21" s="703"/>
      <c r="AN21" s="703"/>
      <c r="AO21" s="703"/>
      <c r="AP21" s="703"/>
      <c r="AQ21" s="703"/>
      <c r="AR21" s="703"/>
      <c r="AS21" s="703"/>
      <c r="AT21" s="703"/>
      <c r="AU21" s="703"/>
      <c r="AV21" s="703"/>
      <c r="AW21" s="703"/>
      <c r="AX21" s="322" t="s">
        <v>2038</v>
      </c>
      <c r="AY21" s="210" t="s">
        <v>104</v>
      </c>
      <c r="AZ21" s="48" t="s">
        <v>2268</v>
      </c>
      <c r="BA21" s="48" t="s">
        <v>2025</v>
      </c>
      <c r="BB21" s="48" t="s">
        <v>921</v>
      </c>
      <c r="BC21" s="316" t="s">
        <v>116</v>
      </c>
      <c r="BD21" s="48" t="s">
        <v>2308</v>
      </c>
      <c r="BE21" s="176">
        <v>46082</v>
      </c>
      <c r="BF21" s="211">
        <v>46085</v>
      </c>
      <c r="BG21" s="211"/>
      <c r="BH21" s="211">
        <v>46088</v>
      </c>
      <c r="BI21" s="213" t="s">
        <v>2309</v>
      </c>
      <c r="BJ21" s="3" t="s">
        <v>2265</v>
      </c>
    </row>
    <row r="22" s="311" customFormat="1" ht="36.95" hidden="1" customHeight="1" spans="1:63">
      <c r="A22" s="208">
        <f t="shared" si="3"/>
        <v>19</v>
      </c>
      <c r="B22" s="48" t="s">
        <v>2009</v>
      </c>
      <c r="C22" s="49" t="s">
        <v>741</v>
      </c>
      <c r="D22" s="50" t="s">
        <v>2310</v>
      </c>
      <c r="E22" s="50" t="s">
        <v>2311</v>
      </c>
      <c r="F22" s="52">
        <v>45968</v>
      </c>
      <c r="G22" s="52">
        <v>46084</v>
      </c>
      <c r="H22" s="52">
        <v>46084</v>
      </c>
      <c r="I22" s="53">
        <v>46009</v>
      </c>
      <c r="J22" s="771">
        <v>100008</v>
      </c>
      <c r="K22" s="175">
        <v>36</v>
      </c>
      <c r="L22" s="175"/>
      <c r="M22" s="778"/>
      <c r="N22" s="778"/>
      <c r="O22" s="703">
        <f>$J22/$K22*7</f>
        <v>19446</v>
      </c>
      <c r="P22" s="778"/>
      <c r="Q22" s="175"/>
      <c r="R22" s="175"/>
      <c r="S22" s="778"/>
      <c r="T22" s="778"/>
      <c r="U22" s="175"/>
      <c r="V22" s="175"/>
      <c r="W22" s="175"/>
      <c r="X22" s="175"/>
      <c r="Y22" s="175"/>
      <c r="Z22" s="175"/>
      <c r="AA22" s="175"/>
      <c r="AB22" s="703"/>
      <c r="AC22" s="703"/>
      <c r="AD22" s="703"/>
      <c r="AE22" s="703"/>
      <c r="AF22" s="703"/>
      <c r="AG22" s="703"/>
      <c r="AH22" s="703"/>
      <c r="AI22" s="703"/>
      <c r="AJ22" s="703"/>
      <c r="AK22" s="703"/>
      <c r="AL22" s="703"/>
      <c r="AM22" s="703">
        <f>$J22/$K22*4</f>
        <v>11112</v>
      </c>
      <c r="AN22" s="703">
        <f>$J22/$K22*4</f>
        <v>11112</v>
      </c>
      <c r="AO22" s="703">
        <f>$J22/$K22*4</f>
        <v>11112</v>
      </c>
      <c r="AP22" s="703">
        <f>$J22/$K22*4</f>
        <v>11112</v>
      </c>
      <c r="AQ22" s="703">
        <f>$J22/$K22*4</f>
        <v>11112</v>
      </c>
      <c r="AR22" s="703">
        <f>$J22/$K22*9</f>
        <v>25002</v>
      </c>
      <c r="AS22" s="703"/>
      <c r="AT22" s="703"/>
      <c r="AU22" s="703"/>
      <c r="AV22" s="703"/>
      <c r="AW22" s="703"/>
      <c r="AX22" s="322" t="s">
        <v>116</v>
      </c>
      <c r="AY22" s="49" t="s">
        <v>81</v>
      </c>
      <c r="AZ22" s="48" t="s">
        <v>214</v>
      </c>
      <c r="BA22" s="48" t="s">
        <v>2025</v>
      </c>
      <c r="BB22" s="48" t="s">
        <v>921</v>
      </c>
      <c r="BC22" s="316" t="s">
        <v>116</v>
      </c>
      <c r="BD22" s="48" t="s">
        <v>2312</v>
      </c>
      <c r="BE22" s="176">
        <v>46082</v>
      </c>
      <c r="BF22" s="211">
        <v>46084</v>
      </c>
      <c r="BG22" s="211"/>
      <c r="BH22" s="211">
        <v>46090</v>
      </c>
      <c r="BI22" s="213" t="s">
        <v>2313</v>
      </c>
      <c r="BJ22" s="3" t="s">
        <v>2314</v>
      </c>
    </row>
    <row r="23" s="311" customFormat="1" ht="38.1" hidden="1" customHeight="1" spans="1:63">
      <c r="A23" s="208">
        <f t="shared" si="3"/>
        <v>20</v>
      </c>
      <c r="B23" s="48" t="s">
        <v>2092</v>
      </c>
      <c r="C23" s="49" t="s">
        <v>2093</v>
      </c>
      <c r="D23" s="50" t="s">
        <v>2094</v>
      </c>
      <c r="E23" s="50" t="s">
        <v>2095</v>
      </c>
      <c r="F23" s="52">
        <v>46028</v>
      </c>
      <c r="G23" s="52">
        <v>46086</v>
      </c>
      <c r="H23" s="52">
        <v>46086</v>
      </c>
      <c r="I23" s="53">
        <v>46028</v>
      </c>
      <c r="J23" s="771">
        <v>1800</v>
      </c>
      <c r="K23" s="175">
        <v>18</v>
      </c>
      <c r="L23" s="175">
        <f>$J23/$K23*3</f>
        <v>300</v>
      </c>
      <c r="M23" s="175">
        <f>$J23/$K23*3</f>
        <v>300</v>
      </c>
      <c r="N23" s="175"/>
      <c r="O23" s="175">
        <f t="shared" ref="O23:T23" si="7">$J23/$K23*2</f>
        <v>200</v>
      </c>
      <c r="P23" s="175">
        <f t="shared" si="7"/>
        <v>200</v>
      </c>
      <c r="Q23" s="175">
        <f t="shared" si="7"/>
        <v>200</v>
      </c>
      <c r="R23" s="175">
        <f t="shared" si="7"/>
        <v>200</v>
      </c>
      <c r="S23" s="175">
        <f t="shared" si="7"/>
        <v>200</v>
      </c>
      <c r="T23" s="175">
        <f t="shared" si="7"/>
        <v>200</v>
      </c>
      <c r="U23" s="175"/>
      <c r="V23" s="175"/>
      <c r="W23" s="175"/>
      <c r="X23" s="175"/>
      <c r="Y23" s="175"/>
      <c r="Z23" s="175"/>
      <c r="AA23" s="175"/>
      <c r="AB23" s="703"/>
      <c r="AC23" s="703"/>
      <c r="AD23" s="703"/>
      <c r="AE23" s="703"/>
      <c r="AF23" s="703"/>
      <c r="AG23" s="703"/>
      <c r="AH23" s="703"/>
      <c r="AI23" s="703"/>
      <c r="AJ23" s="703"/>
      <c r="AK23" s="703"/>
      <c r="AL23" s="703"/>
      <c r="AM23" s="703"/>
      <c r="AN23" s="703"/>
      <c r="AO23" s="703"/>
      <c r="AP23" s="703"/>
      <c r="AQ23" s="703"/>
      <c r="AR23" s="703"/>
      <c r="AS23" s="703"/>
      <c r="AT23" s="703"/>
      <c r="AU23" s="703"/>
      <c r="AV23" s="703"/>
      <c r="AW23" s="703"/>
      <c r="AX23" s="322" t="s">
        <v>2096</v>
      </c>
      <c r="AY23" s="210" t="s">
        <v>104</v>
      </c>
      <c r="AZ23" s="48" t="s">
        <v>2097</v>
      </c>
      <c r="BA23" s="48" t="s">
        <v>2098</v>
      </c>
      <c r="BB23" s="48" t="s">
        <v>2099</v>
      </c>
      <c r="BC23" s="624" t="s">
        <v>2096</v>
      </c>
      <c r="BD23" s="48" t="s">
        <v>2100</v>
      </c>
      <c r="BE23" s="176">
        <v>46084</v>
      </c>
      <c r="BF23" s="211">
        <v>46091</v>
      </c>
      <c r="BG23" s="317"/>
      <c r="BH23" s="211">
        <v>46102</v>
      </c>
      <c r="BI23" s="213"/>
      <c r="BJ23" s="159" t="s">
        <v>2265</v>
      </c>
    </row>
    <row r="24" s="311" customFormat="1" ht="38.1" hidden="1" customHeight="1" spans="1:63">
      <c r="A24" s="208">
        <f t="shared" si="3"/>
        <v>21</v>
      </c>
      <c r="B24" s="48" t="s">
        <v>2092</v>
      </c>
      <c r="C24" s="49" t="s">
        <v>2093</v>
      </c>
      <c r="D24" s="50" t="s">
        <v>2094</v>
      </c>
      <c r="E24" s="50" t="s">
        <v>2095</v>
      </c>
      <c r="F24" s="52">
        <v>46028</v>
      </c>
      <c r="G24" s="52">
        <v>46086</v>
      </c>
      <c r="H24" s="52">
        <v>46086</v>
      </c>
      <c r="I24" s="53">
        <v>46028</v>
      </c>
      <c r="J24" s="771">
        <v>1800</v>
      </c>
      <c r="K24" s="175">
        <v>18</v>
      </c>
      <c r="L24" s="175"/>
      <c r="M24" s="175"/>
      <c r="N24" s="175"/>
      <c r="O24" s="175"/>
      <c r="P24" s="175"/>
      <c r="Q24" s="175"/>
      <c r="R24" s="175"/>
      <c r="S24" s="175"/>
      <c r="T24" s="175"/>
      <c r="U24" s="175">
        <f>$J24/$K24*3</f>
        <v>300</v>
      </c>
      <c r="V24" s="175">
        <f>$J24/$K24*3</f>
        <v>300</v>
      </c>
      <c r="W24" s="175">
        <v>300</v>
      </c>
      <c r="X24" s="175">
        <v>300</v>
      </c>
      <c r="Y24" s="175">
        <f>$J24/$K24*2</f>
        <v>200</v>
      </c>
      <c r="Z24" s="175">
        <f>$J24/$K24*2</f>
        <v>200</v>
      </c>
      <c r="AA24" s="175">
        <f>$J24/$K24*2</f>
        <v>200</v>
      </c>
      <c r="AB24" s="175"/>
      <c r="AC24" s="175"/>
      <c r="AD24" s="703"/>
      <c r="AE24" s="703"/>
      <c r="AF24" s="703"/>
      <c r="AG24" s="175"/>
      <c r="AH24" s="703"/>
      <c r="AI24" s="703"/>
      <c r="AJ24" s="703"/>
      <c r="AK24" s="703"/>
      <c r="AL24" s="703"/>
      <c r="AM24" s="703"/>
      <c r="AN24" s="703"/>
      <c r="AO24" s="703"/>
      <c r="AP24" s="703"/>
      <c r="AQ24" s="703"/>
      <c r="AR24" s="703"/>
      <c r="AS24" s="703"/>
      <c r="AT24" s="703"/>
      <c r="AU24" s="703"/>
      <c r="AV24" s="703"/>
      <c r="AW24" s="703"/>
      <c r="AX24" s="322" t="s">
        <v>2096</v>
      </c>
      <c r="AY24" s="210" t="s">
        <v>104</v>
      </c>
      <c r="AZ24" s="48" t="s">
        <v>2097</v>
      </c>
      <c r="BA24" s="48" t="s">
        <v>2098</v>
      </c>
      <c r="BB24" s="48" t="s">
        <v>2099</v>
      </c>
      <c r="BC24" s="624" t="s">
        <v>2096</v>
      </c>
      <c r="BD24" s="48" t="s">
        <v>2100</v>
      </c>
      <c r="BE24" s="176">
        <v>46084</v>
      </c>
      <c r="BF24" s="211">
        <v>46091</v>
      </c>
      <c r="BG24" s="317"/>
      <c r="BH24" s="211">
        <v>46102</v>
      </c>
      <c r="BI24" s="213"/>
      <c r="BJ24" s="159" t="s">
        <v>2315</v>
      </c>
    </row>
    <row r="25" s="311" customFormat="1" ht="38.1" hidden="1" customHeight="1" spans="1:63">
      <c r="A25" s="208">
        <f t="shared" si="3"/>
        <v>22</v>
      </c>
      <c r="B25" s="48" t="s">
        <v>2316</v>
      </c>
      <c r="C25" s="49" t="s">
        <v>2317</v>
      </c>
      <c r="D25" s="50" t="s">
        <v>2318</v>
      </c>
      <c r="E25" s="50" t="s">
        <v>2319</v>
      </c>
      <c r="F25" s="52">
        <v>46028</v>
      </c>
      <c r="G25" s="52">
        <v>46091</v>
      </c>
      <c r="H25" s="52">
        <v>46091</v>
      </c>
      <c r="I25" s="53">
        <v>46035</v>
      </c>
      <c r="J25" s="771">
        <v>14400</v>
      </c>
      <c r="K25" s="175">
        <v>18</v>
      </c>
      <c r="L25" s="175"/>
      <c r="M25" s="175"/>
      <c r="N25" s="175"/>
      <c r="O25" s="175"/>
      <c r="P25" s="175"/>
      <c r="Q25" s="175"/>
      <c r="R25" s="175">
        <f>$J25/$K25*6</f>
        <v>4800</v>
      </c>
      <c r="S25" s="175"/>
      <c r="T25" s="175"/>
      <c r="U25" s="175">
        <f>$J25/$K25*6</f>
        <v>4800</v>
      </c>
      <c r="V25" s="175">
        <f>$J25/$K25*6</f>
        <v>4800</v>
      </c>
      <c r="W25" s="175"/>
      <c r="X25" s="175"/>
      <c r="Y25" s="175"/>
      <c r="Z25" s="175"/>
      <c r="AA25" s="175"/>
      <c r="AB25" s="703"/>
      <c r="AC25" s="703"/>
      <c r="AD25" s="703"/>
      <c r="AE25" s="703"/>
      <c r="AF25" s="703"/>
      <c r="AG25" s="703"/>
      <c r="AH25" s="703"/>
      <c r="AI25" s="703"/>
      <c r="AJ25" s="703"/>
      <c r="AK25" s="703"/>
      <c r="AL25" s="703"/>
      <c r="AM25" s="703"/>
      <c r="AN25" s="703"/>
      <c r="AO25" s="703"/>
      <c r="AP25" s="703"/>
      <c r="AQ25" s="703"/>
      <c r="AR25" s="703"/>
      <c r="AS25" s="703"/>
      <c r="AT25" s="703"/>
      <c r="AU25" s="703"/>
      <c r="AV25" s="703"/>
      <c r="AW25" s="703"/>
      <c r="AX25" s="322" t="s">
        <v>2096</v>
      </c>
      <c r="AY25" s="49" t="s">
        <v>81</v>
      </c>
      <c r="AZ25" s="305" t="s">
        <v>2097</v>
      </c>
      <c r="BA25" s="48" t="s">
        <v>2098</v>
      </c>
      <c r="BB25" s="48" t="s">
        <v>2099</v>
      </c>
      <c r="BC25" s="624" t="s">
        <v>2096</v>
      </c>
      <c r="BD25" s="48" t="s">
        <v>2104</v>
      </c>
      <c r="BE25" s="176">
        <v>46089</v>
      </c>
      <c r="BF25" s="211">
        <v>46086</v>
      </c>
      <c r="BG25" s="317"/>
      <c r="BH25" s="211">
        <v>46099</v>
      </c>
      <c r="BI25" s="213" t="s">
        <v>2320</v>
      </c>
      <c r="BJ25" s="159" t="s">
        <v>2321</v>
      </c>
    </row>
    <row r="26" s="311" customFormat="1" ht="36.95" hidden="1" customHeight="1" spans="1:63">
      <c r="A26" s="208">
        <f t="shared" si="3"/>
        <v>23</v>
      </c>
      <c r="B26" s="48" t="s">
        <v>2105</v>
      </c>
      <c r="C26" s="49" t="s">
        <v>741</v>
      </c>
      <c r="D26" s="51" t="s">
        <v>2106</v>
      </c>
      <c r="E26" s="50" t="s">
        <v>2107</v>
      </c>
      <c r="F26" s="52">
        <v>46008</v>
      </c>
      <c r="G26" s="52">
        <v>46095</v>
      </c>
      <c r="H26" s="52">
        <v>46095</v>
      </c>
      <c r="I26" s="53">
        <v>46021</v>
      </c>
      <c r="J26" s="327">
        <v>2880</v>
      </c>
      <c r="K26" s="175">
        <v>18</v>
      </c>
      <c r="L26" s="175"/>
      <c r="M26" s="778"/>
      <c r="N26" s="778"/>
      <c r="O26" s="703"/>
      <c r="P26" s="778"/>
      <c r="Q26" s="175"/>
      <c r="R26" s="175"/>
      <c r="S26" s="778"/>
      <c r="T26" s="778"/>
      <c r="U26" s="175"/>
      <c r="V26" s="175"/>
      <c r="W26" s="175"/>
      <c r="X26" s="175"/>
      <c r="Y26" s="175"/>
      <c r="Z26" s="175"/>
      <c r="AA26" s="175"/>
      <c r="AB26" s="703"/>
      <c r="AC26" s="703"/>
      <c r="AD26" s="703">
        <f t="shared" ref="AD26:AL26" si="8">$J26/$K26*2</f>
        <v>320</v>
      </c>
      <c r="AE26" s="703">
        <f t="shared" si="8"/>
        <v>320</v>
      </c>
      <c r="AF26" s="703">
        <f t="shared" si="8"/>
        <v>320</v>
      </c>
      <c r="AG26" s="703">
        <f t="shared" si="8"/>
        <v>320</v>
      </c>
      <c r="AH26" s="703">
        <f t="shared" si="8"/>
        <v>320</v>
      </c>
      <c r="AI26" s="703">
        <f t="shared" si="8"/>
        <v>320</v>
      </c>
      <c r="AJ26" s="703">
        <f t="shared" si="8"/>
        <v>320</v>
      </c>
      <c r="AK26" s="703">
        <f t="shared" si="8"/>
        <v>320</v>
      </c>
      <c r="AL26" s="703">
        <f t="shared" si="8"/>
        <v>320</v>
      </c>
      <c r="AM26" s="703"/>
      <c r="AN26" s="703"/>
      <c r="AO26" s="703"/>
      <c r="AP26" s="703"/>
      <c r="AQ26" s="703"/>
      <c r="AR26" s="703"/>
      <c r="AS26" s="703"/>
      <c r="AT26" s="703"/>
      <c r="AU26" s="703"/>
      <c r="AV26" s="703"/>
      <c r="AW26" s="703"/>
      <c r="AX26" s="322" t="s">
        <v>2096</v>
      </c>
      <c r="AY26" s="49" t="s">
        <v>81</v>
      </c>
      <c r="AZ26" s="305" t="s">
        <v>2097</v>
      </c>
      <c r="BA26" s="48" t="s">
        <v>2098</v>
      </c>
      <c r="BB26" s="48" t="s">
        <v>2099</v>
      </c>
      <c r="BC26" s="624" t="s">
        <v>2096</v>
      </c>
      <c r="BD26" s="48" t="s">
        <v>2104</v>
      </c>
      <c r="BE26" s="176">
        <v>46093</v>
      </c>
      <c r="BF26" s="211">
        <v>46092</v>
      </c>
      <c r="BG26" s="317"/>
      <c r="BH26" s="211">
        <v>46106</v>
      </c>
      <c r="BI26" s="213" t="s">
        <v>2108</v>
      </c>
      <c r="BJ26" s="3" t="s">
        <v>2261</v>
      </c>
    </row>
    <row r="27" s="311" customFormat="1" ht="38.1" hidden="1" customHeight="1" spans="1:63">
      <c r="A27" s="208">
        <f t="shared" si="3"/>
        <v>24</v>
      </c>
      <c r="B27" s="48" t="s">
        <v>2316</v>
      </c>
      <c r="C27" s="49" t="s">
        <v>2317</v>
      </c>
      <c r="D27" s="50" t="s">
        <v>2318</v>
      </c>
      <c r="E27" s="50" t="s">
        <v>2319</v>
      </c>
      <c r="F27" s="52">
        <v>46028</v>
      </c>
      <c r="G27" s="52">
        <v>46109</v>
      </c>
      <c r="H27" s="52">
        <v>46109</v>
      </c>
      <c r="I27" s="53">
        <v>46035</v>
      </c>
      <c r="J27" s="774">
        <v>10800</v>
      </c>
      <c r="K27" s="175">
        <v>18</v>
      </c>
      <c r="L27" s="175"/>
      <c r="M27" s="175"/>
      <c r="N27" s="175"/>
      <c r="O27" s="175">
        <f>$J27/$K27*9</f>
        <v>5400</v>
      </c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703"/>
      <c r="AC27" s="703"/>
      <c r="AD27" s="703"/>
      <c r="AE27" s="703"/>
      <c r="AF27" s="703"/>
      <c r="AG27" s="703"/>
      <c r="AH27" s="703"/>
      <c r="AI27" s="703"/>
      <c r="AJ27" s="703"/>
      <c r="AK27" s="703"/>
      <c r="AL27" s="703"/>
      <c r="AM27" s="703"/>
      <c r="AN27" s="703"/>
      <c r="AO27" s="703"/>
      <c r="AP27" s="703"/>
      <c r="AQ27" s="703"/>
      <c r="AR27" s="175">
        <f>$J27/$K27*9</f>
        <v>5400</v>
      </c>
      <c r="AS27" s="703"/>
      <c r="AT27" s="703"/>
      <c r="AU27" s="703"/>
      <c r="AV27" s="703"/>
      <c r="AW27" s="703"/>
      <c r="AX27" s="322" t="s">
        <v>2096</v>
      </c>
      <c r="AY27" s="49" t="s">
        <v>81</v>
      </c>
      <c r="AZ27" s="305" t="s">
        <v>2097</v>
      </c>
      <c r="BA27" s="48" t="s">
        <v>2098</v>
      </c>
      <c r="BB27" s="48" t="s">
        <v>2099</v>
      </c>
      <c r="BC27" s="624" t="s">
        <v>2096</v>
      </c>
      <c r="BD27" s="48" t="s">
        <v>2104</v>
      </c>
      <c r="BE27" s="176">
        <v>46107</v>
      </c>
      <c r="BF27" s="211">
        <v>46107</v>
      </c>
      <c r="BG27" s="211" t="s">
        <v>2322</v>
      </c>
      <c r="BH27" s="211">
        <v>46111</v>
      </c>
      <c r="BI27" s="213" t="s">
        <v>2320</v>
      </c>
      <c r="BJ27" s="159" t="s">
        <v>2323</v>
      </c>
    </row>
    <row r="28" s="311" customFormat="1" ht="38.1" hidden="1" customHeight="1" spans="1:63">
      <c r="A28" s="208">
        <f t="shared" si="3"/>
        <v>25</v>
      </c>
      <c r="B28" s="48" t="s">
        <v>123</v>
      </c>
      <c r="C28" s="49" t="s">
        <v>124</v>
      </c>
      <c r="D28" s="51" t="s">
        <v>2324</v>
      </c>
      <c r="E28" s="50" t="s">
        <v>2325</v>
      </c>
      <c r="F28" s="52">
        <v>46041</v>
      </c>
      <c r="G28" s="52">
        <v>46109</v>
      </c>
      <c r="H28" s="52">
        <v>46109</v>
      </c>
      <c r="I28" s="53">
        <v>46058</v>
      </c>
      <c r="J28" s="774">
        <v>7506</v>
      </c>
      <c r="K28" s="175">
        <v>18</v>
      </c>
      <c r="L28" s="175"/>
      <c r="M28" s="175"/>
      <c r="N28" s="175"/>
      <c r="O28" s="175">
        <v>834</v>
      </c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703"/>
      <c r="AC28" s="703"/>
      <c r="AD28" s="703"/>
      <c r="AE28" s="703"/>
      <c r="AF28" s="703"/>
      <c r="AG28" s="703"/>
      <c r="AH28" s="703"/>
      <c r="AI28" s="703"/>
      <c r="AJ28" s="703"/>
      <c r="AK28" s="703"/>
      <c r="AL28" s="703"/>
      <c r="AM28" s="703">
        <v>1251</v>
      </c>
      <c r="AN28" s="703">
        <v>1251</v>
      </c>
      <c r="AO28" s="703">
        <v>1251</v>
      </c>
      <c r="AP28" s="703">
        <v>1251</v>
      </c>
      <c r="AQ28" s="703">
        <v>834</v>
      </c>
      <c r="AR28" s="703">
        <v>834</v>
      </c>
      <c r="AS28" s="703"/>
      <c r="AT28" s="703"/>
      <c r="AU28" s="703"/>
      <c r="AV28" s="703"/>
      <c r="AW28" s="703"/>
      <c r="AX28" s="322" t="s">
        <v>1512</v>
      </c>
      <c r="AY28" s="49" t="s">
        <v>81</v>
      </c>
      <c r="AZ28" s="305" t="s">
        <v>1036</v>
      </c>
      <c r="BA28" s="48" t="s">
        <v>2125</v>
      </c>
      <c r="BB28" s="48" t="s">
        <v>1036</v>
      </c>
      <c r="BC28" s="624" t="s">
        <v>1512</v>
      </c>
      <c r="BD28" s="48" t="s">
        <v>2326</v>
      </c>
      <c r="BE28" s="176">
        <v>46109</v>
      </c>
      <c r="BF28" s="211">
        <v>46107</v>
      </c>
      <c r="BG28" s="211"/>
      <c r="BH28" s="211">
        <v>46132</v>
      </c>
      <c r="BI28" s="213" t="s">
        <v>2327</v>
      </c>
      <c r="BJ28" s="3" t="s">
        <v>2328</v>
      </c>
    </row>
    <row r="29" s="311" customFormat="1" ht="38.1" hidden="1" customHeight="1" spans="1:63">
      <c r="A29" s="208">
        <f t="shared" si="3"/>
        <v>26</v>
      </c>
      <c r="B29" s="48" t="s">
        <v>2329</v>
      </c>
      <c r="C29" s="49" t="s">
        <v>114</v>
      </c>
      <c r="D29" s="51" t="s">
        <v>2330</v>
      </c>
      <c r="E29" s="50" t="s">
        <v>2331</v>
      </c>
      <c r="F29" s="52">
        <v>46044</v>
      </c>
      <c r="G29" s="52">
        <v>46125</v>
      </c>
      <c r="H29" s="52">
        <v>46125</v>
      </c>
      <c r="I29" s="53">
        <v>46056</v>
      </c>
      <c r="J29" s="771">
        <v>15012</v>
      </c>
      <c r="K29" s="175">
        <v>18</v>
      </c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703"/>
      <c r="AC29" s="703"/>
      <c r="AD29" s="703">
        <v>1668</v>
      </c>
      <c r="AE29" s="703">
        <v>1668</v>
      </c>
      <c r="AF29" s="703">
        <v>1668</v>
      </c>
      <c r="AG29" s="703">
        <v>1668</v>
      </c>
      <c r="AH29" s="703">
        <v>1668</v>
      </c>
      <c r="AI29" s="703">
        <v>1668</v>
      </c>
      <c r="AJ29" s="703">
        <v>1668</v>
      </c>
      <c r="AK29" s="703">
        <v>1668</v>
      </c>
      <c r="AL29" s="703">
        <v>1668</v>
      </c>
      <c r="AM29" s="703"/>
      <c r="AN29" s="703"/>
      <c r="AO29" s="703"/>
      <c r="AP29" s="703"/>
      <c r="AQ29" s="703"/>
      <c r="AR29" s="703"/>
      <c r="AS29" s="703"/>
      <c r="AT29" s="703"/>
      <c r="AU29" s="703"/>
      <c r="AV29" s="703"/>
      <c r="AW29" s="703"/>
      <c r="AX29" s="322" t="s">
        <v>1512</v>
      </c>
      <c r="AY29" s="49" t="s">
        <v>81</v>
      </c>
      <c r="AZ29" s="305" t="s">
        <v>1036</v>
      </c>
      <c r="BA29" s="48" t="s">
        <v>2125</v>
      </c>
      <c r="BB29" s="48" t="s">
        <v>1036</v>
      </c>
      <c r="BC29" s="624" t="s">
        <v>1512</v>
      </c>
      <c r="BD29" s="48" t="s">
        <v>2104</v>
      </c>
      <c r="BE29" s="176">
        <v>46125</v>
      </c>
      <c r="BF29" s="211">
        <v>46114</v>
      </c>
      <c r="BG29" s="317"/>
      <c r="BH29" s="211">
        <v>46151</v>
      </c>
      <c r="BI29" s="213" t="s">
        <v>2332</v>
      </c>
      <c r="BJ29" s="159" t="s">
        <v>2261</v>
      </c>
    </row>
    <row r="30" s="311" customFormat="1" ht="38.1" hidden="1" customHeight="1" spans="1:63">
      <c r="A30" s="208">
        <f t="shared" si="3"/>
        <v>27</v>
      </c>
      <c r="B30" s="48" t="s">
        <v>2329</v>
      </c>
      <c r="C30" s="49" t="s">
        <v>114</v>
      </c>
      <c r="D30" s="51" t="s">
        <v>2330</v>
      </c>
      <c r="E30" s="50" t="s">
        <v>2331</v>
      </c>
      <c r="F30" s="52">
        <v>46044</v>
      </c>
      <c r="G30" s="52">
        <v>46125</v>
      </c>
      <c r="H30" s="52">
        <v>46125</v>
      </c>
      <c r="I30" s="53">
        <v>46056</v>
      </c>
      <c r="J30" s="771">
        <v>15012</v>
      </c>
      <c r="K30" s="175">
        <v>18</v>
      </c>
      <c r="L30" s="175"/>
      <c r="M30" s="175"/>
      <c r="N30" s="175"/>
      <c r="O30" s="175">
        <v>1668</v>
      </c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703"/>
      <c r="AC30" s="703"/>
      <c r="AD30" s="703"/>
      <c r="AE30" s="703"/>
      <c r="AF30" s="703"/>
      <c r="AG30" s="703"/>
      <c r="AH30" s="703"/>
      <c r="AI30" s="703"/>
      <c r="AJ30" s="703"/>
      <c r="AK30" s="703"/>
      <c r="AL30" s="703"/>
      <c r="AM30" s="703">
        <v>2502</v>
      </c>
      <c r="AN30" s="703">
        <v>2502</v>
      </c>
      <c r="AO30" s="703">
        <v>2502</v>
      </c>
      <c r="AP30" s="703">
        <v>2502</v>
      </c>
      <c r="AQ30" s="703">
        <v>1668</v>
      </c>
      <c r="AR30" s="703">
        <v>1668</v>
      </c>
      <c r="AS30" s="703"/>
      <c r="AT30" s="703"/>
      <c r="AU30" s="703"/>
      <c r="AV30" s="703"/>
      <c r="AW30" s="703"/>
      <c r="AX30" s="322" t="s">
        <v>1512</v>
      </c>
      <c r="AY30" s="49" t="s">
        <v>81</v>
      </c>
      <c r="AZ30" s="305" t="s">
        <v>1036</v>
      </c>
      <c r="BA30" s="48" t="s">
        <v>2125</v>
      </c>
      <c r="BB30" s="48" t="s">
        <v>1036</v>
      </c>
      <c r="BC30" s="624" t="s">
        <v>1512</v>
      </c>
      <c r="BD30" s="48" t="s">
        <v>2104</v>
      </c>
      <c r="BE30" s="176">
        <v>46125</v>
      </c>
      <c r="BF30" s="211">
        <v>46114</v>
      </c>
      <c r="BG30" s="317"/>
      <c r="BH30" s="211">
        <v>46151</v>
      </c>
      <c r="BI30" s="213" t="s">
        <v>2332</v>
      </c>
      <c r="BJ30" s="159" t="s">
        <v>2263</v>
      </c>
    </row>
    <row r="31" s="311" customFormat="1" ht="38.1" hidden="1" customHeight="1" spans="1:63">
      <c r="A31" s="208">
        <f t="shared" si="3"/>
        <v>28</v>
      </c>
      <c r="B31" s="48" t="s">
        <v>2109</v>
      </c>
      <c r="C31" s="49" t="s">
        <v>741</v>
      </c>
      <c r="D31" s="50" t="s">
        <v>2110</v>
      </c>
      <c r="E31" s="50" t="s">
        <v>2111</v>
      </c>
      <c r="F31" s="52">
        <v>45985</v>
      </c>
      <c r="G31" s="52">
        <v>46123</v>
      </c>
      <c r="H31" s="52">
        <v>46123</v>
      </c>
      <c r="I31" s="53">
        <v>46037</v>
      </c>
      <c r="J31" s="774">
        <f>SUM(L31:AW31)</f>
        <v>14016</v>
      </c>
      <c r="K31" s="175">
        <v>48</v>
      </c>
      <c r="L31" s="175"/>
      <c r="M31" s="175"/>
      <c r="N31" s="175"/>
      <c r="O31" s="175"/>
      <c r="P31" s="175"/>
      <c r="Q31" s="175"/>
      <c r="R31" s="175"/>
      <c r="S31" s="175"/>
      <c r="T31" s="175">
        <v>7008</v>
      </c>
      <c r="U31" s="175"/>
      <c r="V31" s="175"/>
      <c r="W31" s="175"/>
      <c r="X31" s="175"/>
      <c r="Y31" s="175"/>
      <c r="Z31" s="175"/>
      <c r="AA31" s="175"/>
      <c r="AB31" s="703"/>
      <c r="AC31" s="703"/>
      <c r="AD31" s="703"/>
      <c r="AE31" s="703"/>
      <c r="AF31" s="703"/>
      <c r="AG31" s="703"/>
      <c r="AH31" s="703"/>
      <c r="AI31" s="703"/>
      <c r="AJ31" s="703"/>
      <c r="AK31" s="703"/>
      <c r="AL31" s="703"/>
      <c r="AM31" s="703"/>
      <c r="AN31" s="703"/>
      <c r="AO31" s="703"/>
      <c r="AP31" s="703"/>
      <c r="AQ31" s="703">
        <v>7008</v>
      </c>
      <c r="AR31" s="703"/>
      <c r="AS31" s="703"/>
      <c r="AT31" s="703"/>
      <c r="AU31" s="703"/>
      <c r="AV31" s="703"/>
      <c r="AW31" s="703"/>
      <c r="AX31" s="322" t="s">
        <v>2096</v>
      </c>
      <c r="AY31" s="49" t="s">
        <v>81</v>
      </c>
      <c r="AZ31" s="305" t="s">
        <v>2097</v>
      </c>
      <c r="BA31" s="48" t="s">
        <v>2125</v>
      </c>
      <c r="BB31" s="48" t="s">
        <v>2112</v>
      </c>
      <c r="BC31" s="624" t="s">
        <v>2096</v>
      </c>
      <c r="BD31" s="48" t="s">
        <v>2113</v>
      </c>
      <c r="BE31" s="176">
        <v>46123</v>
      </c>
      <c r="BF31" s="211" t="s">
        <v>2114</v>
      </c>
      <c r="BG31" s="211" t="s">
        <v>2115</v>
      </c>
      <c r="BH31" s="211">
        <v>46129</v>
      </c>
      <c r="BI31" s="213" t="s">
        <v>2116</v>
      </c>
      <c r="BJ31" s="159" t="s">
        <v>2333</v>
      </c>
    </row>
    <row r="32" s="311" customFormat="1" ht="38.1" hidden="1" customHeight="1" spans="1:63">
      <c r="A32" s="215">
        <f t="shared" si="3"/>
        <v>29</v>
      </c>
      <c r="B32" s="183" t="s">
        <v>2118</v>
      </c>
      <c r="C32" s="96"/>
      <c r="D32" s="216" t="s">
        <v>2110</v>
      </c>
      <c r="E32" s="216"/>
      <c r="F32" s="217"/>
      <c r="G32" s="217"/>
      <c r="H32" s="217"/>
      <c r="I32" s="218"/>
      <c r="J32" s="282">
        <f>SUBTOTAL(9,L32:AW32)</f>
        <v>0</v>
      </c>
      <c r="K32" s="95"/>
      <c r="L32" s="95"/>
      <c r="M32" s="95"/>
      <c r="N32" s="95"/>
      <c r="O32" s="95"/>
      <c r="P32" s="95"/>
      <c r="Q32" s="95"/>
      <c r="R32" s="95"/>
      <c r="S32" s="95"/>
      <c r="T32" s="95">
        <v>12</v>
      </c>
      <c r="U32" s="95"/>
      <c r="V32" s="95"/>
      <c r="W32" s="95"/>
      <c r="X32" s="95"/>
      <c r="Y32" s="95"/>
      <c r="Z32" s="95"/>
      <c r="AA32" s="95"/>
      <c r="AB32" s="728"/>
      <c r="AC32" s="728"/>
      <c r="AD32" s="728"/>
      <c r="AE32" s="728"/>
      <c r="AF32" s="728"/>
      <c r="AG32" s="728"/>
      <c r="AH32" s="728"/>
      <c r="AI32" s="728"/>
      <c r="AJ32" s="728"/>
      <c r="AK32" s="728"/>
      <c r="AL32" s="728"/>
      <c r="AM32" s="728"/>
      <c r="AN32" s="728"/>
      <c r="AO32" s="728"/>
      <c r="AP32" s="728"/>
      <c r="AQ32" s="728">
        <v>12</v>
      </c>
      <c r="AR32" s="728"/>
      <c r="AS32" s="728"/>
      <c r="AT32" s="728"/>
      <c r="AU32" s="728"/>
      <c r="AV32" s="728"/>
      <c r="AW32" s="728"/>
      <c r="AX32" s="779" t="s">
        <v>2096</v>
      </c>
      <c r="AY32" s="96" t="s">
        <v>81</v>
      </c>
      <c r="AZ32" s="297"/>
      <c r="BB32" s="183"/>
      <c r="BC32" s="729"/>
      <c r="BD32" s="183"/>
      <c r="BE32" s="280"/>
      <c r="BF32" s="279"/>
      <c r="BG32" s="321"/>
      <c r="BH32" s="279">
        <v>46105</v>
      </c>
      <c r="BI32" s="224"/>
      <c r="BJ32" s="159"/>
    </row>
    <row r="33" s="311" customFormat="1" ht="39" hidden="1" customHeight="1" spans="1:63">
      <c r="A33" s="208">
        <f t="shared" si="3"/>
        <v>30</v>
      </c>
      <c r="B33" s="48" t="s">
        <v>100</v>
      </c>
      <c r="C33" s="49" t="s">
        <v>101</v>
      </c>
      <c r="D33" s="50" t="s">
        <v>2334</v>
      </c>
      <c r="E33" s="50" t="s">
        <v>2335</v>
      </c>
      <c r="F33" s="52">
        <v>46090</v>
      </c>
      <c r="G33" s="52">
        <v>46129</v>
      </c>
      <c r="H33" s="52">
        <v>46129</v>
      </c>
      <c r="I33" s="53">
        <v>46097</v>
      </c>
      <c r="J33" s="327">
        <f>SUBTOTAL(9,L33:AW33)</f>
        <v>0</v>
      </c>
      <c r="K33" s="175">
        <v>18</v>
      </c>
      <c r="L33" s="175">
        <v>9954</v>
      </c>
      <c r="M33" s="175">
        <v>12456</v>
      </c>
      <c r="N33" s="175"/>
      <c r="O33" s="175"/>
      <c r="P33" s="175"/>
      <c r="Q33" s="175"/>
      <c r="R33" s="175">
        <v>7488</v>
      </c>
      <c r="S33" s="175">
        <v>8712</v>
      </c>
      <c r="T33" s="175">
        <v>7488</v>
      </c>
      <c r="U33" s="175">
        <v>7488</v>
      </c>
      <c r="V33" s="175">
        <v>7488</v>
      </c>
      <c r="W33" s="175"/>
      <c r="X33" s="175"/>
      <c r="Y33" s="175">
        <v>9954</v>
      </c>
      <c r="Z33" s="175"/>
      <c r="AA33" s="175">
        <v>11214</v>
      </c>
      <c r="AB33" s="703"/>
      <c r="AC33" s="703"/>
      <c r="AD33" s="703"/>
      <c r="AE33" s="703"/>
      <c r="AF33" s="703"/>
      <c r="AG33" s="703"/>
      <c r="AH33" s="703"/>
      <c r="AI33" s="703"/>
      <c r="AJ33" s="703"/>
      <c r="AK33" s="703"/>
      <c r="AL33" s="703"/>
      <c r="AM33" s="703"/>
      <c r="AN33" s="703"/>
      <c r="AO33" s="703"/>
      <c r="AP33" s="703"/>
      <c r="AQ33" s="703"/>
      <c r="AR33" s="703"/>
      <c r="AS33" s="703"/>
      <c r="AT33" s="703"/>
      <c r="AU33" s="703">
        <v>7488</v>
      </c>
      <c r="AV33" s="703"/>
      <c r="AW33" s="703"/>
      <c r="AX33" s="624" t="s">
        <v>2336</v>
      </c>
      <c r="AY33" s="49" t="s">
        <v>81</v>
      </c>
      <c r="AZ33" s="305" t="s">
        <v>2337</v>
      </c>
      <c r="BA33" s="48" t="s">
        <v>1731</v>
      </c>
      <c r="BB33" s="305" t="s">
        <v>2337</v>
      </c>
      <c r="BC33" s="624" t="s">
        <v>2336</v>
      </c>
      <c r="BD33" s="48" t="s">
        <v>2142</v>
      </c>
      <c r="BE33" s="176">
        <v>46129</v>
      </c>
      <c r="BF33" s="211">
        <v>46129</v>
      </c>
      <c r="BG33" s="211"/>
      <c r="BH33" s="211">
        <v>46137</v>
      </c>
      <c r="BI33" s="213" t="s">
        <v>2338</v>
      </c>
      <c r="BJ33" s="159" t="s">
        <v>2339</v>
      </c>
    </row>
    <row r="34" s="311" customFormat="1" ht="39" hidden="1" customHeight="1" spans="1:63">
      <c r="A34" s="208">
        <f t="shared" si="3"/>
        <v>31</v>
      </c>
      <c r="B34" s="48" t="s">
        <v>1347</v>
      </c>
      <c r="C34" s="49" t="s">
        <v>741</v>
      </c>
      <c r="D34" s="50" t="s">
        <v>2119</v>
      </c>
      <c r="E34" s="50" t="s">
        <v>2120</v>
      </c>
      <c r="F34" s="52">
        <v>45988</v>
      </c>
      <c r="G34" s="52">
        <v>46095</v>
      </c>
      <c r="H34" s="52">
        <v>46137</v>
      </c>
      <c r="I34" s="53">
        <v>46057</v>
      </c>
      <c r="J34" s="327">
        <v>12006</v>
      </c>
      <c r="K34" s="175">
        <v>18</v>
      </c>
      <c r="L34" s="175">
        <f>J34/K34*3</f>
        <v>2001</v>
      </c>
      <c r="M34" s="175">
        <f>J34/K34*3</f>
        <v>2001</v>
      </c>
      <c r="N34" s="175"/>
      <c r="O34" s="175">
        <f>J34/K34*2</f>
        <v>1334</v>
      </c>
      <c r="P34" s="175">
        <f>J34/K34*2</f>
        <v>1334</v>
      </c>
      <c r="Q34" s="175">
        <f>J34/K34*2</f>
        <v>1334</v>
      </c>
      <c r="R34" s="175">
        <f>J34/K34*2</f>
        <v>1334</v>
      </c>
      <c r="S34" s="175">
        <f>J34/K34*2</f>
        <v>1334</v>
      </c>
      <c r="T34" s="175">
        <f>J34/K34*2</f>
        <v>1334</v>
      </c>
      <c r="U34" s="175"/>
      <c r="V34" s="175"/>
      <c r="W34" s="175"/>
      <c r="X34" s="175"/>
      <c r="Y34" s="175"/>
      <c r="Z34" s="175"/>
      <c r="AA34" s="175"/>
      <c r="AB34" s="703"/>
      <c r="AC34" s="703"/>
      <c r="AD34" s="703"/>
      <c r="AE34" s="703"/>
      <c r="AF34" s="703"/>
      <c r="AG34" s="703"/>
      <c r="AH34" s="703"/>
      <c r="AI34" s="703"/>
      <c r="AJ34" s="703"/>
      <c r="AK34" s="703"/>
      <c r="AL34" s="703"/>
      <c r="AM34" s="703"/>
      <c r="AN34" s="703"/>
      <c r="AO34" s="703"/>
      <c r="AP34" s="703"/>
      <c r="AQ34" s="703"/>
      <c r="AR34" s="703"/>
      <c r="AS34" s="703"/>
      <c r="AT34" s="703"/>
      <c r="AU34" s="703"/>
      <c r="AV34" s="703"/>
      <c r="AW34" s="703"/>
      <c r="AX34" s="322" t="s">
        <v>2096</v>
      </c>
      <c r="AY34" s="49" t="s">
        <v>81</v>
      </c>
      <c r="AZ34" s="305" t="s">
        <v>2097</v>
      </c>
      <c r="BA34" s="48" t="s">
        <v>2098</v>
      </c>
      <c r="BB34" s="48" t="s">
        <v>444</v>
      </c>
      <c r="BC34" s="624" t="s">
        <v>2096</v>
      </c>
      <c r="BD34" s="48" t="s">
        <v>2340</v>
      </c>
      <c r="BE34" s="176">
        <v>46137</v>
      </c>
      <c r="BF34" s="211">
        <v>46129</v>
      </c>
      <c r="BG34" s="211"/>
      <c r="BH34" s="211">
        <v>46188</v>
      </c>
      <c r="BI34" s="213" t="s">
        <v>2122</v>
      </c>
      <c r="BJ34" s="159" t="s">
        <v>2341</v>
      </c>
    </row>
    <row r="35" s="311" customFormat="1" ht="39" hidden="1" customHeight="1" spans="1:63">
      <c r="A35" s="208">
        <f t="shared" si="3"/>
        <v>32</v>
      </c>
      <c r="B35" s="48" t="s">
        <v>100</v>
      </c>
      <c r="C35" s="49" t="s">
        <v>101</v>
      </c>
      <c r="D35" s="50" t="s">
        <v>2342</v>
      </c>
      <c r="E35" s="50" t="s">
        <v>2343</v>
      </c>
      <c r="F35" s="52">
        <v>46079</v>
      </c>
      <c r="G35" s="52">
        <v>46148</v>
      </c>
      <c r="H35" s="52">
        <v>46148</v>
      </c>
      <c r="I35" s="53">
        <v>46090</v>
      </c>
      <c r="J35" s="327">
        <f>SUBTOTAL(9,L35:AW35)</f>
        <v>0</v>
      </c>
      <c r="K35" s="175">
        <v>18</v>
      </c>
      <c r="L35" s="175">
        <v>14148</v>
      </c>
      <c r="M35" s="175">
        <v>15696</v>
      </c>
      <c r="N35" s="175"/>
      <c r="O35" s="175"/>
      <c r="P35" s="175"/>
      <c r="Q35" s="175"/>
      <c r="R35" s="175">
        <v>9684</v>
      </c>
      <c r="S35" s="175">
        <v>7074</v>
      </c>
      <c r="T35" s="175">
        <v>7596</v>
      </c>
      <c r="U35" s="175">
        <v>9540</v>
      </c>
      <c r="V35" s="175">
        <v>9324</v>
      </c>
      <c r="W35" s="175"/>
      <c r="X35" s="175"/>
      <c r="Y35" s="175">
        <v>11232</v>
      </c>
      <c r="Z35" s="175"/>
      <c r="AA35" s="175">
        <v>16236</v>
      </c>
      <c r="AB35" s="703"/>
      <c r="AC35" s="703"/>
      <c r="AD35" s="703"/>
      <c r="AE35" s="703"/>
      <c r="AF35" s="703"/>
      <c r="AG35" s="703"/>
      <c r="AH35" s="703"/>
      <c r="AI35" s="703"/>
      <c r="AJ35" s="703"/>
      <c r="AK35" s="703"/>
      <c r="AL35" s="703"/>
      <c r="AM35" s="703"/>
      <c r="AN35" s="703"/>
      <c r="AO35" s="703"/>
      <c r="AP35" s="703"/>
      <c r="AQ35" s="703"/>
      <c r="AR35" s="703"/>
      <c r="AS35" s="703"/>
      <c r="AT35" s="703"/>
      <c r="AU35" s="703"/>
      <c r="AV35" s="703"/>
      <c r="AW35" s="703"/>
      <c r="AX35" s="624" t="s">
        <v>2336</v>
      </c>
      <c r="AY35" s="49" t="s">
        <v>81</v>
      </c>
      <c r="AZ35" s="305" t="s">
        <v>2344</v>
      </c>
      <c r="BA35" s="48" t="s">
        <v>2125</v>
      </c>
      <c r="BB35" s="48" t="s">
        <v>2344</v>
      </c>
      <c r="BC35" s="624" t="s">
        <v>2336</v>
      </c>
      <c r="BD35" s="48" t="s">
        <v>2142</v>
      </c>
      <c r="BE35" s="176">
        <v>46148</v>
      </c>
      <c r="BF35" s="211">
        <v>46135</v>
      </c>
      <c r="BG35" s="211"/>
      <c r="BH35" s="211">
        <v>46164</v>
      </c>
      <c r="BI35" s="213" t="s">
        <v>2345</v>
      </c>
      <c r="BJ35" s="159" t="s">
        <v>2346</v>
      </c>
    </row>
    <row r="36" s="311" customFormat="1" ht="39" hidden="1" customHeight="1" spans="1:63">
      <c r="A36" s="208">
        <f t="shared" si="3"/>
        <v>33</v>
      </c>
      <c r="B36" s="48" t="s">
        <v>2347</v>
      </c>
      <c r="C36" s="49" t="s">
        <v>466</v>
      </c>
      <c r="D36" s="50" t="s">
        <v>2348</v>
      </c>
      <c r="E36" s="50" t="s">
        <v>2349</v>
      </c>
      <c r="F36" s="52">
        <v>46059</v>
      </c>
      <c r="G36" s="52">
        <v>46157</v>
      </c>
      <c r="H36" s="52">
        <v>46157</v>
      </c>
      <c r="I36" s="53">
        <v>46127</v>
      </c>
      <c r="J36" s="327">
        <f>SUBTOTAL(9,L36:AW36)</f>
        <v>0</v>
      </c>
      <c r="K36" s="175">
        <v>48</v>
      </c>
      <c r="L36" s="175">
        <v>7008</v>
      </c>
      <c r="M36" s="175">
        <v>7008</v>
      </c>
      <c r="N36" s="175"/>
      <c r="O36" s="175">
        <v>7008</v>
      </c>
      <c r="P36" s="175"/>
      <c r="Q36" s="175"/>
      <c r="R36" s="175">
        <v>7008</v>
      </c>
      <c r="S36" s="743"/>
      <c r="T36" s="175">
        <v>7008</v>
      </c>
      <c r="U36" s="175"/>
      <c r="V36" s="175"/>
      <c r="W36" s="175"/>
      <c r="X36" s="175"/>
      <c r="Y36" s="175"/>
      <c r="Z36" s="175"/>
      <c r="AA36" s="175"/>
      <c r="AB36" s="703"/>
      <c r="AC36" s="703"/>
      <c r="AD36" s="703"/>
      <c r="AE36" s="703"/>
      <c r="AF36" s="703"/>
      <c r="AG36" s="703"/>
      <c r="AH36" s="703"/>
      <c r="AI36" s="703"/>
      <c r="AJ36" s="703"/>
      <c r="AK36" s="703"/>
      <c r="AL36" s="703"/>
      <c r="AM36" s="703"/>
      <c r="AN36" s="703"/>
      <c r="AO36" s="703"/>
      <c r="AP36" s="703"/>
      <c r="AQ36" s="703"/>
      <c r="AR36" s="703"/>
      <c r="AS36" s="703"/>
      <c r="AT36" s="703"/>
      <c r="AU36" s="703"/>
      <c r="AV36" s="703"/>
      <c r="AW36" s="703"/>
      <c r="AX36" s="624" t="s">
        <v>1064</v>
      </c>
      <c r="AY36" s="49" t="s">
        <v>81</v>
      </c>
      <c r="AZ36" s="305" t="s">
        <v>2130</v>
      </c>
      <c r="BA36" s="48" t="s">
        <v>1731</v>
      </c>
      <c r="BB36" s="48" t="s">
        <v>459</v>
      </c>
      <c r="BC36" s="624" t="s">
        <v>1064</v>
      </c>
      <c r="BD36" s="48" t="s">
        <v>2350</v>
      </c>
      <c r="BE36" s="176">
        <v>46157</v>
      </c>
      <c r="BF36" s="211" t="s">
        <v>2351</v>
      </c>
      <c r="BG36" s="211"/>
      <c r="BH36" s="211">
        <v>46183</v>
      </c>
      <c r="BI36" s="213" t="s">
        <v>2352</v>
      </c>
      <c r="BJ36" s="159" t="s">
        <v>2353</v>
      </c>
    </row>
    <row r="37" s="311" customFormat="1" ht="38.1" hidden="1" customHeight="1" spans="1:63">
      <c r="A37" s="208">
        <f t="shared" si="3"/>
        <v>34</v>
      </c>
      <c r="B37" s="48" t="s">
        <v>2354</v>
      </c>
      <c r="C37" s="49" t="s">
        <v>124</v>
      </c>
      <c r="D37" s="51" t="s">
        <v>2355</v>
      </c>
      <c r="E37" s="50" t="s">
        <v>2356</v>
      </c>
      <c r="F37" s="52">
        <v>46111</v>
      </c>
      <c r="G37" s="52">
        <v>46160</v>
      </c>
      <c r="H37" s="52">
        <v>46160</v>
      </c>
      <c r="I37" s="53">
        <v>46127</v>
      </c>
      <c r="J37" s="774">
        <f>SUBTOTAL(9,M37:AW37)</f>
        <v>0</v>
      </c>
      <c r="K37" s="175">
        <v>18</v>
      </c>
      <c r="L37" s="175"/>
      <c r="M37" s="175"/>
      <c r="N37" s="175"/>
      <c r="O37" s="175">
        <v>166</v>
      </c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703"/>
      <c r="AC37" s="703"/>
      <c r="AD37" s="703"/>
      <c r="AE37" s="703"/>
      <c r="AF37" s="703"/>
      <c r="AG37" s="703"/>
      <c r="AH37" s="703"/>
      <c r="AI37" s="703"/>
      <c r="AJ37" s="703"/>
      <c r="AK37" s="703"/>
      <c r="AL37" s="703"/>
      <c r="AM37" s="703">
        <v>249</v>
      </c>
      <c r="AN37" s="703">
        <v>249</v>
      </c>
      <c r="AO37" s="703">
        <v>249</v>
      </c>
      <c r="AP37" s="703">
        <v>249</v>
      </c>
      <c r="AQ37" s="703">
        <v>166</v>
      </c>
      <c r="AR37" s="703">
        <v>166</v>
      </c>
      <c r="AS37" s="703"/>
      <c r="AT37" s="703"/>
      <c r="AU37" s="703"/>
      <c r="AV37" s="703"/>
      <c r="AW37" s="703"/>
      <c r="AX37" s="624" t="s">
        <v>1064</v>
      </c>
      <c r="AY37" s="49" t="s">
        <v>81</v>
      </c>
      <c r="AZ37" s="305" t="s">
        <v>2357</v>
      </c>
      <c r="BA37" s="48" t="s">
        <v>1744</v>
      </c>
      <c r="BB37" s="48" t="s">
        <v>2141</v>
      </c>
      <c r="BC37" s="624" t="s">
        <v>1064</v>
      </c>
      <c r="BD37" s="48" t="s">
        <v>2358</v>
      </c>
      <c r="BE37" s="176">
        <v>46160</v>
      </c>
      <c r="BF37" s="211">
        <v>46163</v>
      </c>
      <c r="BG37" s="211"/>
      <c r="BH37" s="211">
        <v>46183</v>
      </c>
      <c r="BI37" s="213" t="s">
        <v>2359</v>
      </c>
      <c r="BJ37" s="159" t="s">
        <v>2263</v>
      </c>
    </row>
    <row r="38" s="311" customFormat="1" ht="39" hidden="1" customHeight="1" spans="1:63">
      <c r="A38" s="208">
        <f t="shared" si="3"/>
        <v>35</v>
      </c>
      <c r="B38" s="48" t="s">
        <v>2266</v>
      </c>
      <c r="C38" s="49" t="s">
        <v>726</v>
      </c>
      <c r="D38" s="50" t="s">
        <v>2360</v>
      </c>
      <c r="E38" s="50" t="s">
        <v>2361</v>
      </c>
      <c r="F38" s="52">
        <v>46064</v>
      </c>
      <c r="G38" s="52">
        <v>46161</v>
      </c>
      <c r="H38" s="52">
        <v>46161</v>
      </c>
      <c r="I38" s="53">
        <v>46091</v>
      </c>
      <c r="J38" s="774">
        <v>119040</v>
      </c>
      <c r="K38" s="175">
        <v>192</v>
      </c>
      <c r="L38" s="175">
        <f>$J38/$K38*16</f>
        <v>9920</v>
      </c>
      <c r="M38" s="175">
        <f>$J38/$K38*16</f>
        <v>9920</v>
      </c>
      <c r="N38" s="175">
        <f>$J38/$K38*16</f>
        <v>9920</v>
      </c>
      <c r="O38" s="175"/>
      <c r="P38" s="175"/>
      <c r="Q38" s="175">
        <f t="shared" ref="Q38:V38" si="9">$J38/$K38*16</f>
        <v>9920</v>
      </c>
      <c r="R38" s="175">
        <f t="shared" si="9"/>
        <v>9920</v>
      </c>
      <c r="S38" s="175">
        <f t="shared" si="9"/>
        <v>9920</v>
      </c>
      <c r="T38" s="175">
        <f t="shared" si="9"/>
        <v>9920</v>
      </c>
      <c r="U38" s="175">
        <f t="shared" si="9"/>
        <v>9920</v>
      </c>
      <c r="V38" s="175">
        <f t="shared" si="9"/>
        <v>9920</v>
      </c>
      <c r="W38" s="175"/>
      <c r="X38" s="175">
        <f>$J38/$K38*16</f>
        <v>9920</v>
      </c>
      <c r="Y38" s="175">
        <f>$J38/$K38*16</f>
        <v>9920</v>
      </c>
      <c r="Z38" s="175"/>
      <c r="AA38" s="175"/>
      <c r="AB38" s="703"/>
      <c r="AC38" s="703"/>
      <c r="AD38" s="703"/>
      <c r="AE38" s="703"/>
      <c r="AF38" s="703"/>
      <c r="AG38" s="703"/>
      <c r="AH38" s="703"/>
      <c r="AI38" s="703"/>
      <c r="AJ38" s="175">
        <f>$J38/$K38*16</f>
        <v>9920</v>
      </c>
      <c r="AK38" s="703"/>
      <c r="AL38" s="703"/>
      <c r="AM38" s="703"/>
      <c r="AN38" s="703"/>
      <c r="AO38" s="703"/>
      <c r="AP38" s="703"/>
      <c r="AQ38" s="703"/>
      <c r="AR38" s="703"/>
      <c r="AS38" s="703"/>
      <c r="AT38" s="703"/>
      <c r="AU38" s="703"/>
      <c r="AV38" s="703"/>
      <c r="AW38" s="703"/>
      <c r="AX38" s="624" t="s">
        <v>1064</v>
      </c>
      <c r="AY38" s="214" t="s">
        <v>104</v>
      </c>
      <c r="AZ38" s="48" t="s">
        <v>2344</v>
      </c>
      <c r="BA38" s="48" t="s">
        <v>2125</v>
      </c>
      <c r="BB38" s="48" t="s">
        <v>459</v>
      </c>
      <c r="BC38" s="624" t="s">
        <v>1064</v>
      </c>
      <c r="BD38" s="48" t="s">
        <v>2362</v>
      </c>
      <c r="BE38" s="176">
        <v>46161</v>
      </c>
      <c r="BF38" s="211">
        <v>46163</v>
      </c>
      <c r="BG38" s="211"/>
      <c r="BH38" s="211">
        <v>46174</v>
      </c>
      <c r="BI38" s="213" t="s">
        <v>2363</v>
      </c>
      <c r="BJ38" s="3" t="s">
        <v>2271</v>
      </c>
    </row>
    <row r="39" s="311" customFormat="1" ht="39" hidden="1" customHeight="1" spans="1:63">
      <c r="A39" s="208">
        <f t="shared" si="3"/>
        <v>36</v>
      </c>
      <c r="B39" s="48" t="s">
        <v>2364</v>
      </c>
      <c r="C39" s="49" t="s">
        <v>77</v>
      </c>
      <c r="D39" s="50" t="s">
        <v>2365</v>
      </c>
      <c r="E39" s="50" t="s">
        <v>2366</v>
      </c>
      <c r="F39" s="52">
        <v>46094</v>
      </c>
      <c r="G39" s="52">
        <v>46161</v>
      </c>
      <c r="H39" s="52">
        <v>46161</v>
      </c>
      <c r="I39" s="53">
        <v>46114</v>
      </c>
      <c r="J39" s="327">
        <f>SUBTOTAL(9,L39:AW39)</f>
        <v>0</v>
      </c>
      <c r="K39" s="175">
        <v>36</v>
      </c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703"/>
      <c r="AC39" s="703"/>
      <c r="AD39" s="703">
        <v>960</v>
      </c>
      <c r="AE39" s="703">
        <v>960</v>
      </c>
      <c r="AF39" s="703">
        <v>720</v>
      </c>
      <c r="AG39" s="703">
        <v>720</v>
      </c>
      <c r="AH39" s="703">
        <v>960</v>
      </c>
      <c r="AI39" s="703">
        <v>960</v>
      </c>
      <c r="AJ39" s="703">
        <v>1200</v>
      </c>
      <c r="AK39" s="703">
        <v>960</v>
      </c>
      <c r="AL39" s="703">
        <v>1200</v>
      </c>
      <c r="AM39" s="703"/>
      <c r="AN39" s="703"/>
      <c r="AO39" s="703"/>
      <c r="AP39" s="703"/>
      <c r="AQ39" s="703"/>
      <c r="AR39" s="703"/>
      <c r="AS39" s="703"/>
      <c r="AT39" s="703"/>
      <c r="AU39" s="703"/>
      <c r="AV39" s="703"/>
      <c r="AW39" s="703"/>
      <c r="AX39" s="624" t="s">
        <v>1064</v>
      </c>
      <c r="AY39" s="49" t="s">
        <v>81</v>
      </c>
      <c r="AZ39" s="305" t="s">
        <v>2130</v>
      </c>
      <c r="BA39" s="48" t="s">
        <v>1744</v>
      </c>
      <c r="BB39" s="48" t="s">
        <v>459</v>
      </c>
      <c r="BC39" s="624" t="s">
        <v>1064</v>
      </c>
      <c r="BD39" s="48" t="s">
        <v>2367</v>
      </c>
      <c r="BE39" s="176">
        <v>46161</v>
      </c>
      <c r="BF39" s="211">
        <v>46163</v>
      </c>
      <c r="BG39" s="211"/>
      <c r="BH39" s="211">
        <v>46170</v>
      </c>
      <c r="BI39" s="213" t="s">
        <v>2368</v>
      </c>
      <c r="BJ39" s="159" t="s">
        <v>2276</v>
      </c>
    </row>
    <row r="40" s="311" customFormat="1" ht="39" hidden="1" customHeight="1" spans="1:63">
      <c r="A40" s="208">
        <f t="shared" si="3"/>
        <v>37</v>
      </c>
      <c r="B40" s="48" t="s">
        <v>2364</v>
      </c>
      <c r="C40" s="49" t="s">
        <v>77</v>
      </c>
      <c r="D40" s="50" t="s">
        <v>2369</v>
      </c>
      <c r="E40" s="50" t="s">
        <v>2370</v>
      </c>
      <c r="F40" s="52">
        <v>46120</v>
      </c>
      <c r="G40" s="52">
        <v>46161</v>
      </c>
      <c r="H40" s="52">
        <v>46161</v>
      </c>
      <c r="I40" s="53">
        <v>46126</v>
      </c>
      <c r="J40" s="327">
        <v>5004</v>
      </c>
      <c r="K40" s="175">
        <v>36</v>
      </c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  <c r="AB40" s="703"/>
      <c r="AC40" s="703"/>
      <c r="AD40" s="703">
        <v>556</v>
      </c>
      <c r="AE40" s="703">
        <v>556</v>
      </c>
      <c r="AF40" s="703">
        <v>417</v>
      </c>
      <c r="AG40" s="703">
        <v>417</v>
      </c>
      <c r="AH40" s="703">
        <v>556</v>
      </c>
      <c r="AI40" s="703">
        <v>556</v>
      </c>
      <c r="AJ40" s="703">
        <v>695</v>
      </c>
      <c r="AK40" s="703">
        <v>556</v>
      </c>
      <c r="AL40" s="703">
        <v>695</v>
      </c>
      <c r="AM40" s="703"/>
      <c r="AN40" s="703"/>
      <c r="AO40" s="703"/>
      <c r="AP40" s="703"/>
      <c r="AQ40" s="703"/>
      <c r="AR40" s="703"/>
      <c r="AS40" s="703"/>
      <c r="AT40" s="703"/>
      <c r="AU40" s="703"/>
      <c r="AV40" s="703"/>
      <c r="AW40" s="703"/>
      <c r="AX40" s="624" t="s">
        <v>1064</v>
      </c>
      <c r="AY40" s="49" t="s">
        <v>81</v>
      </c>
      <c r="AZ40" s="305" t="s">
        <v>2357</v>
      </c>
      <c r="BA40" s="48" t="s">
        <v>1744</v>
      </c>
      <c r="BB40" s="48" t="s">
        <v>459</v>
      </c>
      <c r="BC40" s="624" t="s">
        <v>1064</v>
      </c>
      <c r="BD40" s="48" t="s">
        <v>2367</v>
      </c>
      <c r="BE40" s="176">
        <v>46161</v>
      </c>
      <c r="BF40" s="211">
        <v>46163</v>
      </c>
      <c r="BG40" s="211"/>
      <c r="BH40" s="211">
        <v>46170</v>
      </c>
      <c r="BI40" s="213" t="s">
        <v>2371</v>
      </c>
      <c r="BJ40" s="159" t="s">
        <v>2276</v>
      </c>
    </row>
    <row r="41" s="311" customFormat="1" ht="38.1" hidden="1" customHeight="1" spans="1:63">
      <c r="A41" s="208">
        <f t="shared" si="3"/>
        <v>38</v>
      </c>
      <c r="B41" s="48" t="s">
        <v>2372</v>
      </c>
      <c r="C41" s="49" t="s">
        <v>726</v>
      </c>
      <c r="D41" s="51" t="s">
        <v>2373</v>
      </c>
      <c r="E41" s="50" t="s">
        <v>2374</v>
      </c>
      <c r="F41" s="52">
        <v>46080</v>
      </c>
      <c r="G41" s="52">
        <v>46161</v>
      </c>
      <c r="H41" s="52">
        <v>46161</v>
      </c>
      <c r="I41" s="53">
        <v>46153</v>
      </c>
      <c r="J41" s="774">
        <f t="shared" ref="J41:J46" si="10">SUBTOTAL(9,L41:AW41)</f>
        <v>0</v>
      </c>
      <c r="K41" s="175">
        <v>18</v>
      </c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703"/>
      <c r="AC41" s="703"/>
      <c r="AD41" s="703">
        <v>1870</v>
      </c>
      <c r="AE41" s="703">
        <v>1870</v>
      </c>
      <c r="AF41" s="703">
        <v>1870</v>
      </c>
      <c r="AG41" s="703">
        <v>1870</v>
      </c>
      <c r="AH41" s="703">
        <v>1870</v>
      </c>
      <c r="AI41" s="703">
        <v>1870</v>
      </c>
      <c r="AJ41" s="703">
        <v>1870</v>
      </c>
      <c r="AK41" s="703">
        <v>1870</v>
      </c>
      <c r="AL41" s="703">
        <v>1870</v>
      </c>
      <c r="AM41" s="703"/>
      <c r="AN41" s="703"/>
      <c r="AO41" s="703"/>
      <c r="AP41" s="703"/>
      <c r="AQ41" s="703"/>
      <c r="AR41" s="703"/>
      <c r="AS41" s="703"/>
      <c r="AT41" s="703"/>
      <c r="AU41" s="703"/>
      <c r="AV41" s="703"/>
      <c r="AW41" s="703"/>
      <c r="AX41" s="624" t="s">
        <v>1064</v>
      </c>
      <c r="AY41" s="214" t="s">
        <v>104</v>
      </c>
      <c r="AZ41" s="305" t="s">
        <v>2130</v>
      </c>
      <c r="BA41" s="48" t="s">
        <v>1744</v>
      </c>
      <c r="BB41" s="305" t="s">
        <v>2375</v>
      </c>
      <c r="BC41" s="624" t="s">
        <v>1064</v>
      </c>
      <c r="BD41" s="48" t="s">
        <v>2376</v>
      </c>
      <c r="BE41" s="176">
        <v>46161</v>
      </c>
      <c r="BF41" s="211">
        <v>46164</v>
      </c>
      <c r="BG41" s="211"/>
      <c r="BH41" s="211">
        <v>46198</v>
      </c>
      <c r="BI41" s="213" t="s">
        <v>2377</v>
      </c>
      <c r="BJ41" s="3" t="s">
        <v>2378</v>
      </c>
    </row>
    <row r="42" s="311" customFormat="1" ht="39" hidden="1" customHeight="1" spans="1:63">
      <c r="A42" s="208">
        <f t="shared" si="3"/>
        <v>39</v>
      </c>
      <c r="B42" s="48" t="s">
        <v>2379</v>
      </c>
      <c r="C42" s="48" t="s">
        <v>77</v>
      </c>
      <c r="D42" s="50" t="s">
        <v>2380</v>
      </c>
      <c r="E42" s="50" t="s">
        <v>2381</v>
      </c>
      <c r="F42" s="52">
        <v>46106</v>
      </c>
      <c r="G42" s="52">
        <v>46163</v>
      </c>
      <c r="H42" s="52">
        <v>46163</v>
      </c>
      <c r="I42" s="53">
        <v>46127</v>
      </c>
      <c r="J42" s="327">
        <f t="shared" si="10"/>
        <v>0</v>
      </c>
      <c r="K42" s="175">
        <v>18</v>
      </c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703"/>
      <c r="AC42" s="703"/>
      <c r="AD42" s="703"/>
      <c r="AE42" s="703"/>
      <c r="AF42" s="703"/>
      <c r="AG42" s="703"/>
      <c r="AH42" s="703"/>
      <c r="AI42" s="703"/>
      <c r="AJ42" s="703"/>
      <c r="AK42" s="703"/>
      <c r="AL42" s="703">
        <v>11340</v>
      </c>
      <c r="AM42" s="703"/>
      <c r="AN42" s="703"/>
      <c r="AO42" s="703"/>
      <c r="AP42" s="703"/>
      <c r="AQ42" s="703"/>
      <c r="AR42" s="703"/>
      <c r="AS42" s="703"/>
      <c r="AT42" s="703"/>
      <c r="AU42" s="703"/>
      <c r="AV42" s="703"/>
      <c r="AW42" s="703"/>
      <c r="AX42" s="322" t="s">
        <v>1064</v>
      </c>
      <c r="AY42" s="49" t="s">
        <v>81</v>
      </c>
      <c r="AZ42" s="305" t="s">
        <v>2130</v>
      </c>
      <c r="BA42" s="48" t="s">
        <v>1744</v>
      </c>
      <c r="BB42" s="48" t="s">
        <v>2141</v>
      </c>
      <c r="BC42" s="624" t="s">
        <v>1064</v>
      </c>
      <c r="BD42" s="48" t="s">
        <v>2382</v>
      </c>
      <c r="BE42" s="176">
        <v>46163</v>
      </c>
      <c r="BF42" s="211" t="s">
        <v>2383</v>
      </c>
      <c r="BG42" s="317"/>
      <c r="BH42" s="211">
        <v>46175</v>
      </c>
      <c r="BI42" s="213" t="s">
        <v>2384</v>
      </c>
      <c r="BJ42" s="159" t="s">
        <v>2385</v>
      </c>
    </row>
    <row r="43" s="311" customFormat="1" ht="39" hidden="1" customHeight="1" spans="1:63">
      <c r="A43" s="208">
        <f t="shared" si="3"/>
        <v>40</v>
      </c>
      <c r="B43" s="48" t="s">
        <v>100</v>
      </c>
      <c r="C43" s="49" t="s">
        <v>101</v>
      </c>
      <c r="D43" s="50" t="s">
        <v>2138</v>
      </c>
      <c r="E43" s="50" t="s">
        <v>2139</v>
      </c>
      <c r="F43" s="52">
        <v>46079</v>
      </c>
      <c r="G43" s="52">
        <v>46171</v>
      </c>
      <c r="H43" s="52">
        <v>46171</v>
      </c>
      <c r="I43" s="53">
        <v>46090</v>
      </c>
      <c r="J43" s="327">
        <f t="shared" si="10"/>
        <v>0</v>
      </c>
      <c r="K43" s="175">
        <v>18</v>
      </c>
      <c r="L43" s="175">
        <v>12276</v>
      </c>
      <c r="M43" s="175">
        <v>19044</v>
      </c>
      <c r="N43" s="175"/>
      <c r="O43" s="175"/>
      <c r="P43" s="175"/>
      <c r="Q43" s="175"/>
      <c r="R43" s="175">
        <v>14724</v>
      </c>
      <c r="S43" s="175">
        <v>10584</v>
      </c>
      <c r="T43" s="175">
        <v>10998</v>
      </c>
      <c r="U43" s="175">
        <v>15984</v>
      </c>
      <c r="V43" s="175">
        <v>12690</v>
      </c>
      <c r="W43" s="175"/>
      <c r="X43" s="175"/>
      <c r="Y43" s="175">
        <v>12438</v>
      </c>
      <c r="Z43" s="175"/>
      <c r="AA43" s="175">
        <v>17766</v>
      </c>
      <c r="AB43" s="703"/>
      <c r="AC43" s="703"/>
      <c r="AD43" s="703"/>
      <c r="AE43" s="703"/>
      <c r="AF43" s="703"/>
      <c r="AG43" s="703"/>
      <c r="AH43" s="703"/>
      <c r="AI43" s="703"/>
      <c r="AJ43" s="703"/>
      <c r="AK43" s="703"/>
      <c r="AL43" s="703"/>
      <c r="AM43" s="703"/>
      <c r="AN43" s="703"/>
      <c r="AO43" s="703"/>
      <c r="AP43" s="703"/>
      <c r="AQ43" s="703"/>
      <c r="AR43" s="703"/>
      <c r="AS43" s="703"/>
      <c r="AT43" s="703"/>
      <c r="AU43" s="703"/>
      <c r="AV43" s="703"/>
      <c r="AW43" s="703"/>
      <c r="AX43" s="624" t="s">
        <v>2140</v>
      </c>
      <c r="AY43" s="49" t="s">
        <v>81</v>
      </c>
      <c r="AZ43" s="305" t="s">
        <v>2130</v>
      </c>
      <c r="BA43" s="48" t="s">
        <v>2125</v>
      </c>
      <c r="BB43" s="48" t="s">
        <v>2141</v>
      </c>
      <c r="BC43" s="624" t="s">
        <v>2140</v>
      </c>
      <c r="BD43" s="48" t="s">
        <v>2142</v>
      </c>
      <c r="BE43" s="176">
        <v>46171</v>
      </c>
      <c r="BF43" s="211">
        <v>46171</v>
      </c>
      <c r="BG43" s="211"/>
      <c r="BH43" s="211">
        <v>46198</v>
      </c>
      <c r="BI43" s="213" t="s">
        <v>2143</v>
      </c>
      <c r="BJ43" s="159" t="s">
        <v>2346</v>
      </c>
    </row>
    <row r="44" s="311" customFormat="1" ht="38.1" hidden="1" customHeight="1" spans="1:63">
      <c r="A44" s="208">
        <f t="shared" si="3"/>
        <v>41</v>
      </c>
      <c r="B44" s="48" t="s">
        <v>2372</v>
      </c>
      <c r="C44" s="49" t="s">
        <v>726</v>
      </c>
      <c r="D44" s="51" t="s">
        <v>2386</v>
      </c>
      <c r="E44" s="50" t="s">
        <v>2387</v>
      </c>
      <c r="F44" s="52">
        <v>46080</v>
      </c>
      <c r="G44" s="52">
        <v>46177</v>
      </c>
      <c r="H44" s="52">
        <v>46177</v>
      </c>
      <c r="I44" s="53">
        <v>46147</v>
      </c>
      <c r="J44" s="774">
        <f t="shared" si="10"/>
        <v>0</v>
      </c>
      <c r="K44" s="175">
        <v>18</v>
      </c>
      <c r="L44" s="175"/>
      <c r="M44" s="175"/>
      <c r="N44" s="175"/>
      <c r="O44" s="703">
        <v>1870</v>
      </c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703"/>
      <c r="AC44" s="703"/>
      <c r="AD44" s="703"/>
      <c r="AE44" s="703"/>
      <c r="AF44" s="703"/>
      <c r="AG44" s="703"/>
      <c r="AH44" s="703"/>
      <c r="AI44" s="703"/>
      <c r="AJ44" s="703"/>
      <c r="AK44" s="703"/>
      <c r="AL44" s="703"/>
      <c r="AM44" s="703">
        <v>2805</v>
      </c>
      <c r="AN44" s="703">
        <v>2805</v>
      </c>
      <c r="AO44" s="703">
        <v>2805</v>
      </c>
      <c r="AP44" s="703">
        <v>2805</v>
      </c>
      <c r="AQ44" s="703">
        <v>1870</v>
      </c>
      <c r="AR44" s="703">
        <v>1870</v>
      </c>
      <c r="AS44" s="703"/>
      <c r="AT44" s="703"/>
      <c r="AU44" s="703"/>
      <c r="AV44" s="703"/>
      <c r="AW44" s="703"/>
      <c r="AX44" s="624" t="s">
        <v>2147</v>
      </c>
      <c r="AY44" s="214" t="s">
        <v>104</v>
      </c>
      <c r="AZ44" s="305" t="s">
        <v>514</v>
      </c>
      <c r="BA44" s="48" t="s">
        <v>1744</v>
      </c>
      <c r="BB44" s="48" t="s">
        <v>144</v>
      </c>
      <c r="BC44" s="624" t="s">
        <v>2147</v>
      </c>
      <c r="BD44" s="48" t="s">
        <v>2376</v>
      </c>
      <c r="BE44" s="176">
        <v>46177</v>
      </c>
      <c r="BF44" s="211" t="s">
        <v>2388</v>
      </c>
      <c r="BG44" s="211"/>
      <c r="BH44" s="211">
        <v>46198</v>
      </c>
      <c r="BI44" s="213" t="s">
        <v>2389</v>
      </c>
      <c r="BJ44" s="3" t="s">
        <v>2390</v>
      </c>
    </row>
    <row r="45" s="311" customFormat="1" ht="38.1" hidden="1" customHeight="1" spans="1:63">
      <c r="A45" s="208">
        <f t="shared" si="3"/>
        <v>42</v>
      </c>
      <c r="B45" s="48" t="s">
        <v>2391</v>
      </c>
      <c r="C45" s="49" t="s">
        <v>101</v>
      </c>
      <c r="D45" s="51" t="s">
        <v>2392</v>
      </c>
      <c r="E45" s="50" t="s">
        <v>2393</v>
      </c>
      <c r="F45" s="52">
        <v>46114</v>
      </c>
      <c r="G45" s="52">
        <v>46177</v>
      </c>
      <c r="H45" s="52">
        <v>46177</v>
      </c>
      <c r="I45" s="53">
        <v>46156</v>
      </c>
      <c r="J45" s="774">
        <f t="shared" si="10"/>
        <v>0</v>
      </c>
      <c r="K45" s="175">
        <v>18</v>
      </c>
      <c r="L45" s="175"/>
      <c r="M45" s="175"/>
      <c r="N45" s="175"/>
      <c r="O45" s="175"/>
      <c r="P45" s="175"/>
      <c r="Q45" s="175"/>
      <c r="R45" s="175">
        <v>1008</v>
      </c>
      <c r="S45" s="175"/>
      <c r="T45" s="175"/>
      <c r="U45" s="175">
        <v>1008</v>
      </c>
      <c r="V45" s="175">
        <v>1008</v>
      </c>
      <c r="W45" s="175"/>
      <c r="X45" s="175"/>
      <c r="Y45" s="175"/>
      <c r="Z45" s="175"/>
      <c r="AA45" s="175"/>
      <c r="AB45" s="703"/>
      <c r="AC45" s="703"/>
      <c r="AD45" s="703"/>
      <c r="AE45" s="703"/>
      <c r="AF45" s="703"/>
      <c r="AG45" s="703"/>
      <c r="AH45" s="703"/>
      <c r="AI45" s="703"/>
      <c r="AJ45" s="703"/>
      <c r="AK45" s="703"/>
      <c r="AL45" s="703"/>
      <c r="AM45" s="703"/>
      <c r="AN45" s="703"/>
      <c r="AO45" s="703"/>
      <c r="AP45" s="703"/>
      <c r="AQ45" s="703"/>
      <c r="AR45" s="703"/>
      <c r="AS45" s="703"/>
      <c r="AT45" s="703"/>
      <c r="AU45" s="703"/>
      <c r="AV45" s="703"/>
      <c r="AW45" s="703"/>
      <c r="AX45" s="322" t="s">
        <v>2147</v>
      </c>
      <c r="AY45" s="49" t="s">
        <v>81</v>
      </c>
      <c r="AZ45" s="305" t="s">
        <v>1072</v>
      </c>
      <c r="BA45" s="48" t="s">
        <v>1744</v>
      </c>
      <c r="BB45" s="48" t="s">
        <v>1141</v>
      </c>
      <c r="BC45" s="624" t="s">
        <v>2147</v>
      </c>
      <c r="BD45" s="48" t="s">
        <v>2394</v>
      </c>
      <c r="BE45" s="176">
        <v>46177</v>
      </c>
      <c r="BF45" s="211">
        <v>46175</v>
      </c>
      <c r="BG45" s="211"/>
      <c r="BH45" s="211">
        <v>46195</v>
      </c>
      <c r="BI45" s="213" t="s">
        <v>2395</v>
      </c>
      <c r="BJ45" s="159" t="s">
        <v>2396</v>
      </c>
      <c r="BK45" s="311" t="s">
        <v>2397</v>
      </c>
    </row>
    <row r="46" s="311" customFormat="1" ht="38.1" hidden="1" customHeight="1" spans="1:63">
      <c r="A46" s="208">
        <f t="shared" ref="A46:A80" si="11">ROW()-3</f>
        <v>43</v>
      </c>
      <c r="B46" s="48" t="s">
        <v>2391</v>
      </c>
      <c r="C46" s="49" t="s">
        <v>101</v>
      </c>
      <c r="D46" s="51" t="s">
        <v>2392</v>
      </c>
      <c r="E46" s="50" t="s">
        <v>2393</v>
      </c>
      <c r="F46" s="52">
        <v>46114</v>
      </c>
      <c r="G46" s="52">
        <v>46177</v>
      </c>
      <c r="H46" s="52">
        <v>46177</v>
      </c>
      <c r="I46" s="53">
        <v>46156</v>
      </c>
      <c r="J46" s="774">
        <f t="shared" si="10"/>
        <v>0</v>
      </c>
      <c r="K46" s="175">
        <v>36</v>
      </c>
      <c r="L46" s="175"/>
      <c r="M46" s="175"/>
      <c r="N46" s="175"/>
      <c r="O46" s="175"/>
      <c r="P46" s="175"/>
      <c r="Q46" s="175">
        <v>1008</v>
      </c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703"/>
      <c r="AC46" s="703"/>
      <c r="AD46" s="703"/>
      <c r="AE46" s="703"/>
      <c r="AF46" s="703"/>
      <c r="AG46" s="703"/>
      <c r="AH46" s="703"/>
      <c r="AI46" s="703"/>
      <c r="AJ46" s="703">
        <v>1008</v>
      </c>
      <c r="AK46" s="703">
        <v>1008</v>
      </c>
      <c r="AL46" s="703"/>
      <c r="AM46" s="703"/>
      <c r="AN46" s="703"/>
      <c r="AO46" s="703"/>
      <c r="AP46" s="703"/>
      <c r="AQ46" s="703"/>
      <c r="AR46" s="703"/>
      <c r="AS46" s="703"/>
      <c r="AT46" s="703"/>
      <c r="AU46" s="703"/>
      <c r="AV46" s="703"/>
      <c r="AW46" s="703"/>
      <c r="AX46" s="322" t="s">
        <v>2147</v>
      </c>
      <c r="AY46" s="49" t="s">
        <v>81</v>
      </c>
      <c r="AZ46" s="305" t="s">
        <v>1072</v>
      </c>
      <c r="BA46" s="48" t="s">
        <v>1744</v>
      </c>
      <c r="BB46" s="48" t="s">
        <v>1141</v>
      </c>
      <c r="BC46" s="624" t="s">
        <v>2147</v>
      </c>
      <c r="BD46" s="48" t="s">
        <v>2398</v>
      </c>
      <c r="BE46" s="176">
        <v>46177</v>
      </c>
      <c r="BF46" s="211" t="s">
        <v>2399</v>
      </c>
      <c r="BG46" s="211"/>
      <c r="BH46" s="211">
        <v>46195</v>
      </c>
      <c r="BI46" s="213" t="s">
        <v>2395</v>
      </c>
      <c r="BJ46" s="159" t="s">
        <v>2400</v>
      </c>
    </row>
    <row r="47" s="311" customFormat="1" ht="38.1" hidden="1" customHeight="1" spans="1:63">
      <c r="A47" s="208">
        <f t="shared" si="11"/>
        <v>44</v>
      </c>
      <c r="B47" s="48" t="s">
        <v>2401</v>
      </c>
      <c r="C47" s="49" t="s">
        <v>101</v>
      </c>
      <c r="D47" s="51" t="s">
        <v>2402</v>
      </c>
      <c r="E47" s="50" t="s">
        <v>2403</v>
      </c>
      <c r="F47" s="52">
        <v>46136</v>
      </c>
      <c r="G47" s="52">
        <v>46177</v>
      </c>
      <c r="H47" s="52">
        <v>46177</v>
      </c>
      <c r="I47" s="53">
        <v>46154</v>
      </c>
      <c r="J47" s="774">
        <f>SUBTOTAL(9,M47:AW47)</f>
        <v>0</v>
      </c>
      <c r="K47" s="175">
        <v>18</v>
      </c>
      <c r="L47" s="175"/>
      <c r="M47" s="175"/>
      <c r="N47" s="175"/>
      <c r="O47" s="175"/>
      <c r="P47" s="175"/>
      <c r="Q47" s="175"/>
      <c r="R47" s="175">
        <v>108</v>
      </c>
      <c r="S47" s="175"/>
      <c r="T47" s="175"/>
      <c r="U47" s="175">
        <v>108</v>
      </c>
      <c r="V47" s="175">
        <v>108</v>
      </c>
      <c r="W47" s="175"/>
      <c r="X47" s="175"/>
      <c r="Y47" s="175"/>
      <c r="Z47" s="175"/>
      <c r="AA47" s="175"/>
      <c r="AB47" s="703"/>
      <c r="AC47" s="703"/>
      <c r="AD47" s="703"/>
      <c r="AE47" s="703"/>
      <c r="AF47" s="703"/>
      <c r="AG47" s="703"/>
      <c r="AH47" s="703"/>
      <c r="AI47" s="703"/>
      <c r="AJ47" s="703"/>
      <c r="AK47" s="703"/>
      <c r="AL47" s="703"/>
      <c r="AM47" s="703"/>
      <c r="AN47" s="703"/>
      <c r="AO47" s="703"/>
      <c r="AP47" s="703"/>
      <c r="AQ47" s="703"/>
      <c r="AR47" s="703"/>
      <c r="AS47" s="703"/>
      <c r="AT47" s="703"/>
      <c r="AU47" s="703"/>
      <c r="AV47" s="703"/>
      <c r="AW47" s="703"/>
      <c r="AX47" s="322" t="s">
        <v>2147</v>
      </c>
      <c r="AY47" s="49" t="s">
        <v>81</v>
      </c>
      <c r="AZ47" s="305" t="s">
        <v>1072</v>
      </c>
      <c r="BA47" s="48" t="s">
        <v>1744</v>
      </c>
      <c r="BB47" s="48" t="s">
        <v>1141</v>
      </c>
      <c r="BC47" s="624" t="s">
        <v>2147</v>
      </c>
      <c r="BD47" s="48" t="s">
        <v>2394</v>
      </c>
      <c r="BE47" s="176">
        <v>46177</v>
      </c>
      <c r="BF47" s="211">
        <v>46175</v>
      </c>
      <c r="BG47" s="211"/>
      <c r="BH47" s="211">
        <v>46195</v>
      </c>
      <c r="BI47" s="213" t="s">
        <v>2404</v>
      </c>
      <c r="BJ47" s="159" t="s">
        <v>2396</v>
      </c>
      <c r="BK47" s="311" t="s">
        <v>2397</v>
      </c>
    </row>
    <row r="48" s="311" customFormat="1" ht="38.1" hidden="1" customHeight="1" spans="1:63">
      <c r="A48" s="208">
        <f t="shared" si="11"/>
        <v>45</v>
      </c>
      <c r="B48" s="48" t="s">
        <v>2405</v>
      </c>
      <c r="C48" s="49" t="s">
        <v>101</v>
      </c>
      <c r="D48" s="51" t="s">
        <v>2406</v>
      </c>
      <c r="E48" s="50" t="s">
        <v>2407</v>
      </c>
      <c r="F48" s="52">
        <v>46134</v>
      </c>
      <c r="G48" s="52">
        <v>46177</v>
      </c>
      <c r="H48" s="52">
        <v>46177</v>
      </c>
      <c r="I48" s="53">
        <v>46161</v>
      </c>
      <c r="J48" s="774">
        <f>SUBTOTAL(9,L48:AW48)</f>
        <v>0</v>
      </c>
      <c r="K48" s="175">
        <v>18</v>
      </c>
      <c r="L48" s="175"/>
      <c r="M48" s="175"/>
      <c r="N48" s="175"/>
      <c r="O48" s="175"/>
      <c r="P48" s="175"/>
      <c r="Q48" s="175"/>
      <c r="R48" s="175">
        <v>1008</v>
      </c>
      <c r="S48" s="175"/>
      <c r="T48" s="175"/>
      <c r="U48" s="175"/>
      <c r="V48" s="175">
        <v>1008</v>
      </c>
      <c r="W48" s="175"/>
      <c r="X48" s="175"/>
      <c r="Y48" s="175"/>
      <c r="Z48" s="175"/>
      <c r="AA48" s="175"/>
      <c r="AB48" s="703"/>
      <c r="AC48" s="703"/>
      <c r="AD48" s="703"/>
      <c r="AE48" s="703"/>
      <c r="AF48" s="703"/>
      <c r="AG48" s="703"/>
      <c r="AH48" s="703"/>
      <c r="AI48" s="703"/>
      <c r="AJ48" s="703"/>
      <c r="AK48" s="703"/>
      <c r="AL48" s="703"/>
      <c r="AM48" s="703"/>
      <c r="AN48" s="703"/>
      <c r="AO48" s="703"/>
      <c r="AP48" s="703"/>
      <c r="AQ48" s="703"/>
      <c r="AR48" s="703"/>
      <c r="AS48" s="703"/>
      <c r="AT48" s="703"/>
      <c r="AU48" s="703"/>
      <c r="AV48" s="703"/>
      <c r="AW48" s="703"/>
      <c r="AX48" s="322" t="s">
        <v>2147</v>
      </c>
      <c r="AY48" s="49" t="s">
        <v>81</v>
      </c>
      <c r="AZ48" s="305" t="s">
        <v>1393</v>
      </c>
      <c r="BA48" s="48" t="s">
        <v>1876</v>
      </c>
      <c r="BB48" s="48" t="s">
        <v>1141</v>
      </c>
      <c r="BC48" s="624" t="s">
        <v>2147</v>
      </c>
      <c r="BD48" s="48" t="s">
        <v>2394</v>
      </c>
      <c r="BE48" s="176">
        <v>46177</v>
      </c>
      <c r="BF48" s="211">
        <v>46175</v>
      </c>
      <c r="BG48" s="211"/>
      <c r="BH48" s="211">
        <v>46188</v>
      </c>
      <c r="BI48" s="213" t="s">
        <v>2408</v>
      </c>
      <c r="BJ48" s="159" t="s">
        <v>2409</v>
      </c>
      <c r="BK48" s="311" t="s">
        <v>2397</v>
      </c>
    </row>
    <row r="49" s="311" customFormat="1" ht="39" hidden="1" customHeight="1" spans="1:63">
      <c r="A49" s="208">
        <f t="shared" si="11"/>
        <v>46</v>
      </c>
      <c r="B49" s="48" t="s">
        <v>100</v>
      </c>
      <c r="C49" s="49" t="s">
        <v>101</v>
      </c>
      <c r="D49" s="50" t="s">
        <v>2153</v>
      </c>
      <c r="E49" s="50" t="s">
        <v>2154</v>
      </c>
      <c r="F49" s="52">
        <v>46101</v>
      </c>
      <c r="G49" s="52">
        <v>46184</v>
      </c>
      <c r="H49" s="52">
        <v>46184</v>
      </c>
      <c r="I49" s="53">
        <v>46156</v>
      </c>
      <c r="J49" s="327">
        <f>SUBTOTAL(9,L49:AW49)</f>
        <v>0</v>
      </c>
      <c r="K49" s="175">
        <v>36</v>
      </c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703"/>
      <c r="AC49" s="703"/>
      <c r="AD49" s="703"/>
      <c r="AE49" s="703"/>
      <c r="AF49" s="703"/>
      <c r="AG49" s="703"/>
      <c r="AH49" s="703"/>
      <c r="AI49" s="703"/>
      <c r="AJ49" s="703">
        <v>7596</v>
      </c>
      <c r="AK49" s="703">
        <v>7596</v>
      </c>
      <c r="AL49" s="703"/>
      <c r="AM49" s="703"/>
      <c r="AN49" s="703"/>
      <c r="AO49" s="703"/>
      <c r="AP49" s="703"/>
      <c r="AQ49" s="703"/>
      <c r="AR49" s="703"/>
      <c r="AS49" s="703"/>
      <c r="AT49" s="703"/>
      <c r="AU49" s="703"/>
      <c r="AV49" s="703"/>
      <c r="AW49" s="703"/>
      <c r="AX49" s="624" t="s">
        <v>2147</v>
      </c>
      <c r="AY49" s="49" t="s">
        <v>81</v>
      </c>
      <c r="AZ49" s="305" t="s">
        <v>2410</v>
      </c>
      <c r="BA49" s="48" t="s">
        <v>1744</v>
      </c>
      <c r="BB49" s="48" t="s">
        <v>1072</v>
      </c>
      <c r="BC49" s="624" t="s">
        <v>2147</v>
      </c>
      <c r="BD49" s="48" t="s">
        <v>2411</v>
      </c>
      <c r="BE49" s="176">
        <v>46184</v>
      </c>
      <c r="BF49" s="211" t="s">
        <v>2155</v>
      </c>
      <c r="BG49" s="211"/>
      <c r="BH49" s="211">
        <v>46195</v>
      </c>
      <c r="BI49" s="213" t="s">
        <v>2412</v>
      </c>
      <c r="BJ49" s="159" t="s">
        <v>2413</v>
      </c>
    </row>
    <row r="50" s="311" customFormat="1" ht="30" hidden="1" customHeight="1" spans="1:63">
      <c r="A50" s="208">
        <f t="shared" si="11"/>
        <v>47</v>
      </c>
      <c r="B50" s="48" t="s">
        <v>2158</v>
      </c>
      <c r="C50" s="49" t="s">
        <v>1882</v>
      </c>
      <c r="D50" s="50" t="s">
        <v>2159</v>
      </c>
      <c r="E50" s="50" t="s">
        <v>2160</v>
      </c>
      <c r="F50" s="52">
        <v>46125</v>
      </c>
      <c r="G50" s="52">
        <v>46185</v>
      </c>
      <c r="H50" s="52">
        <v>46185</v>
      </c>
      <c r="I50" s="53">
        <v>46154</v>
      </c>
      <c r="J50" s="327">
        <f t="shared" ref="J50:J55" si="12">SUM(L50:AW50)</f>
        <v>6858</v>
      </c>
      <c r="K50" s="175">
        <v>18</v>
      </c>
      <c r="L50" s="175"/>
      <c r="M50" s="175"/>
      <c r="N50" s="175"/>
      <c r="O50" s="175"/>
      <c r="P50" s="175"/>
      <c r="Q50" s="175"/>
      <c r="R50" s="175"/>
      <c r="S50" s="175"/>
      <c r="T50" s="175"/>
      <c r="U50" s="175">
        <v>1143</v>
      </c>
      <c r="V50" s="175">
        <v>1143</v>
      </c>
      <c r="W50" s="175"/>
      <c r="X50" s="175"/>
      <c r="Y50" s="175">
        <v>762</v>
      </c>
      <c r="Z50" s="175">
        <v>762</v>
      </c>
      <c r="AA50" s="175">
        <v>762</v>
      </c>
      <c r="AB50" s="703">
        <v>1143</v>
      </c>
      <c r="AC50" s="703">
        <v>1143</v>
      </c>
      <c r="AD50" s="703"/>
      <c r="AE50" s="703"/>
      <c r="AF50" s="703"/>
      <c r="AG50" s="703"/>
      <c r="AH50" s="703"/>
      <c r="AI50" s="703"/>
      <c r="AJ50" s="703"/>
      <c r="AK50" s="703"/>
      <c r="AL50" s="703"/>
      <c r="AM50" s="703"/>
      <c r="AN50" s="703"/>
      <c r="AO50" s="703"/>
      <c r="AP50" s="703"/>
      <c r="AQ50" s="703"/>
      <c r="AR50" s="703"/>
      <c r="AS50" s="703"/>
      <c r="AT50" s="703"/>
      <c r="AU50" s="703"/>
      <c r="AV50" s="703"/>
      <c r="AW50" s="703"/>
      <c r="AX50" s="624" t="s">
        <v>2147</v>
      </c>
      <c r="AY50" s="49" t="s">
        <v>81</v>
      </c>
      <c r="AZ50" s="305" t="s">
        <v>514</v>
      </c>
      <c r="BA50" s="48" t="s">
        <v>1744</v>
      </c>
      <c r="BB50" s="48" t="s">
        <v>155</v>
      </c>
      <c r="BC50" s="624" t="s">
        <v>2147</v>
      </c>
      <c r="BD50" s="48" t="s">
        <v>2161</v>
      </c>
      <c r="BE50" s="176">
        <v>46185</v>
      </c>
      <c r="BF50" s="211">
        <v>46188</v>
      </c>
      <c r="BG50" s="211"/>
      <c r="BH50" s="211">
        <v>46196</v>
      </c>
      <c r="BI50" s="213" t="s">
        <v>2162</v>
      </c>
      <c r="BJ50" s="159" t="s">
        <v>2414</v>
      </c>
    </row>
    <row r="51" s="311" customFormat="1" ht="30" hidden="1" customHeight="1" spans="1:63">
      <c r="A51" s="208">
        <f t="shared" si="11"/>
        <v>48</v>
      </c>
      <c r="B51" s="48" t="s">
        <v>2158</v>
      </c>
      <c r="C51" s="49" t="s">
        <v>1882</v>
      </c>
      <c r="D51" s="50" t="s">
        <v>2159</v>
      </c>
      <c r="E51" s="50" t="s">
        <v>2160</v>
      </c>
      <c r="F51" s="52">
        <v>46125</v>
      </c>
      <c r="G51" s="52">
        <v>46185</v>
      </c>
      <c r="H51" s="52">
        <v>46185</v>
      </c>
      <c r="I51" s="53">
        <v>46154</v>
      </c>
      <c r="J51" s="327">
        <f t="shared" si="12"/>
        <v>6858</v>
      </c>
      <c r="K51" s="175">
        <v>18</v>
      </c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703"/>
      <c r="AC51" s="703"/>
      <c r="AD51" s="703">
        <v>762</v>
      </c>
      <c r="AE51" s="703">
        <v>762</v>
      </c>
      <c r="AF51" s="703">
        <v>762</v>
      </c>
      <c r="AG51" s="703">
        <v>762</v>
      </c>
      <c r="AH51" s="703">
        <v>762</v>
      </c>
      <c r="AI51" s="703">
        <v>762</v>
      </c>
      <c r="AJ51" s="703">
        <v>762</v>
      </c>
      <c r="AK51" s="703">
        <v>762</v>
      </c>
      <c r="AL51" s="703">
        <v>762</v>
      </c>
      <c r="AM51" s="703"/>
      <c r="AN51" s="703"/>
      <c r="AO51" s="703"/>
      <c r="AP51" s="703"/>
      <c r="AQ51" s="703"/>
      <c r="AR51" s="703"/>
      <c r="AS51" s="703"/>
      <c r="AT51" s="703"/>
      <c r="AU51" s="703"/>
      <c r="AV51" s="703"/>
      <c r="AW51" s="703"/>
      <c r="AX51" s="624" t="s">
        <v>2147</v>
      </c>
      <c r="AY51" s="49" t="s">
        <v>81</v>
      </c>
      <c r="AZ51" s="305" t="s">
        <v>514</v>
      </c>
      <c r="BA51" s="48" t="s">
        <v>1744</v>
      </c>
      <c r="BB51" s="48" t="s">
        <v>155</v>
      </c>
      <c r="BC51" s="624" t="s">
        <v>2147</v>
      </c>
      <c r="BD51" s="48" t="s">
        <v>2161</v>
      </c>
      <c r="BE51" s="176">
        <v>46185</v>
      </c>
      <c r="BF51" s="211">
        <v>46188</v>
      </c>
      <c r="BG51" s="211"/>
      <c r="BH51" s="211">
        <v>46196</v>
      </c>
      <c r="BI51" s="213" t="s">
        <v>2162</v>
      </c>
      <c r="BJ51" s="159" t="s">
        <v>2261</v>
      </c>
    </row>
    <row r="52" s="311" customFormat="1" ht="30" hidden="1" customHeight="1" spans="1:63">
      <c r="A52" s="208">
        <f t="shared" si="11"/>
        <v>49</v>
      </c>
      <c r="B52" s="48" t="s">
        <v>2158</v>
      </c>
      <c r="C52" s="49" t="s">
        <v>1882</v>
      </c>
      <c r="D52" s="50" t="s">
        <v>2159</v>
      </c>
      <c r="E52" s="50" t="s">
        <v>2160</v>
      </c>
      <c r="F52" s="52">
        <v>46125</v>
      </c>
      <c r="G52" s="52">
        <v>46185</v>
      </c>
      <c r="H52" s="52">
        <v>46185</v>
      </c>
      <c r="I52" s="53">
        <v>46154</v>
      </c>
      <c r="J52" s="327">
        <f t="shared" si="12"/>
        <v>6858</v>
      </c>
      <c r="K52" s="175">
        <v>18</v>
      </c>
      <c r="L52" s="175"/>
      <c r="M52" s="175"/>
      <c r="N52" s="175"/>
      <c r="O52" s="175">
        <v>762</v>
      </c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703"/>
      <c r="AC52" s="703"/>
      <c r="AD52" s="703"/>
      <c r="AE52" s="703"/>
      <c r="AF52" s="703"/>
      <c r="AG52" s="703"/>
      <c r="AH52" s="703"/>
      <c r="AI52" s="703"/>
      <c r="AJ52" s="703"/>
      <c r="AK52" s="703"/>
      <c r="AL52" s="703"/>
      <c r="AM52" s="703">
        <v>1143</v>
      </c>
      <c r="AN52" s="703">
        <v>1143</v>
      </c>
      <c r="AO52" s="703">
        <v>1143</v>
      </c>
      <c r="AP52" s="703">
        <v>1143</v>
      </c>
      <c r="AQ52" s="703">
        <v>762</v>
      </c>
      <c r="AR52" s="703">
        <v>762</v>
      </c>
      <c r="AS52" s="703"/>
      <c r="AT52" s="703"/>
      <c r="AU52" s="703"/>
      <c r="AV52" s="703"/>
      <c r="AW52" s="703"/>
      <c r="AX52" s="624" t="s">
        <v>2147</v>
      </c>
      <c r="AY52" s="49" t="s">
        <v>81</v>
      </c>
      <c r="AZ52" s="305" t="s">
        <v>514</v>
      </c>
      <c r="BA52" s="48" t="s">
        <v>1744</v>
      </c>
      <c r="BB52" s="48" t="s">
        <v>155</v>
      </c>
      <c r="BC52" s="624" t="s">
        <v>2147</v>
      </c>
      <c r="BD52" s="48" t="s">
        <v>2161</v>
      </c>
      <c r="BE52" s="176">
        <v>46185</v>
      </c>
      <c r="BF52" s="211">
        <v>46188</v>
      </c>
      <c r="BG52" s="211"/>
      <c r="BH52" s="211">
        <v>46196</v>
      </c>
      <c r="BI52" s="213" t="s">
        <v>2162</v>
      </c>
      <c r="BJ52" s="159" t="s">
        <v>2263</v>
      </c>
    </row>
    <row r="53" s="311" customFormat="1" ht="30" hidden="1" customHeight="1" spans="1:63">
      <c r="A53" s="208">
        <f t="shared" si="11"/>
        <v>50</v>
      </c>
      <c r="B53" s="48" t="s">
        <v>2158</v>
      </c>
      <c r="C53" s="49" t="s">
        <v>1882</v>
      </c>
      <c r="D53" s="50" t="s">
        <v>2164</v>
      </c>
      <c r="E53" s="50" t="s">
        <v>2165</v>
      </c>
      <c r="F53" s="52">
        <v>46125</v>
      </c>
      <c r="G53" s="52">
        <v>46185</v>
      </c>
      <c r="H53" s="52">
        <v>46185</v>
      </c>
      <c r="I53" s="53">
        <v>46154</v>
      </c>
      <c r="J53" s="327">
        <f t="shared" si="12"/>
        <v>5868</v>
      </c>
      <c r="K53" s="175">
        <v>18</v>
      </c>
      <c r="L53" s="772"/>
      <c r="M53" s="772"/>
      <c r="N53" s="772"/>
      <c r="O53" s="772"/>
      <c r="P53" s="772"/>
      <c r="Q53" s="772"/>
      <c r="R53" s="772"/>
      <c r="S53" s="772"/>
      <c r="T53" s="772"/>
      <c r="U53" s="175">
        <v>978</v>
      </c>
      <c r="V53" s="175">
        <v>978</v>
      </c>
      <c r="W53" s="175"/>
      <c r="X53" s="175"/>
      <c r="Y53" s="175">
        <v>652</v>
      </c>
      <c r="Z53" s="175">
        <v>652</v>
      </c>
      <c r="AA53" s="175">
        <v>652</v>
      </c>
      <c r="AB53" s="703">
        <v>978</v>
      </c>
      <c r="AC53" s="703">
        <v>978</v>
      </c>
      <c r="AD53" s="703"/>
      <c r="AE53" s="703"/>
      <c r="AF53" s="703"/>
      <c r="AG53" s="703"/>
      <c r="AH53" s="703"/>
      <c r="AI53" s="703"/>
      <c r="AJ53" s="703"/>
      <c r="AK53" s="703"/>
      <c r="AL53" s="703"/>
      <c r="AM53" s="703"/>
      <c r="AN53" s="703"/>
      <c r="AO53" s="703"/>
      <c r="AP53" s="703"/>
      <c r="AQ53" s="703"/>
      <c r="AR53" s="703"/>
      <c r="AS53" s="703"/>
      <c r="AT53" s="703"/>
      <c r="AU53" s="703"/>
      <c r="AV53" s="703"/>
      <c r="AW53" s="175"/>
      <c r="AX53" s="624" t="s">
        <v>2147</v>
      </c>
      <c r="AY53" s="49" t="s">
        <v>81</v>
      </c>
      <c r="AZ53" s="305" t="s">
        <v>514</v>
      </c>
      <c r="BA53" s="48" t="s">
        <v>1744</v>
      </c>
      <c r="BB53" s="48" t="s">
        <v>155</v>
      </c>
      <c r="BC53" s="624" t="s">
        <v>2147</v>
      </c>
      <c r="BD53" s="48" t="s">
        <v>2161</v>
      </c>
      <c r="BE53" s="176">
        <v>46185</v>
      </c>
      <c r="BF53" s="211">
        <v>46188</v>
      </c>
      <c r="BG53" s="211"/>
      <c r="BH53" s="211">
        <v>46196</v>
      </c>
      <c r="BI53" s="213" t="s">
        <v>2166</v>
      </c>
      <c r="BJ53" s="159" t="s">
        <v>2414</v>
      </c>
    </row>
    <row r="54" s="311" customFormat="1" ht="30" hidden="1" customHeight="1" spans="1:63">
      <c r="A54" s="208">
        <f t="shared" si="11"/>
        <v>51</v>
      </c>
      <c r="B54" s="48" t="s">
        <v>2158</v>
      </c>
      <c r="C54" s="49" t="s">
        <v>1882</v>
      </c>
      <c r="D54" s="50" t="s">
        <v>2164</v>
      </c>
      <c r="E54" s="50" t="s">
        <v>2165</v>
      </c>
      <c r="F54" s="52">
        <v>46125</v>
      </c>
      <c r="G54" s="52">
        <v>46185</v>
      </c>
      <c r="H54" s="52">
        <v>46185</v>
      </c>
      <c r="I54" s="53">
        <v>46154</v>
      </c>
      <c r="J54" s="327">
        <f t="shared" si="12"/>
        <v>5868</v>
      </c>
      <c r="K54" s="175">
        <v>18</v>
      </c>
      <c r="L54" s="772"/>
      <c r="M54" s="772"/>
      <c r="N54" s="772"/>
      <c r="O54" s="772"/>
      <c r="P54" s="772"/>
      <c r="Q54" s="772"/>
      <c r="R54" s="772"/>
      <c r="S54" s="772"/>
      <c r="T54" s="772"/>
      <c r="U54" s="175"/>
      <c r="V54" s="175"/>
      <c r="W54" s="175"/>
      <c r="X54" s="175"/>
      <c r="Y54" s="175"/>
      <c r="Z54" s="175"/>
      <c r="AA54" s="175"/>
      <c r="AB54" s="703"/>
      <c r="AC54" s="703"/>
      <c r="AD54" s="703">
        <v>652</v>
      </c>
      <c r="AE54" s="703">
        <v>652</v>
      </c>
      <c r="AF54" s="703">
        <v>652</v>
      </c>
      <c r="AG54" s="703">
        <v>652</v>
      </c>
      <c r="AH54" s="703">
        <v>652</v>
      </c>
      <c r="AI54" s="703">
        <v>652</v>
      </c>
      <c r="AJ54" s="703">
        <v>652</v>
      </c>
      <c r="AK54" s="703">
        <v>652</v>
      </c>
      <c r="AL54" s="703">
        <v>652</v>
      </c>
      <c r="AM54" s="703"/>
      <c r="AN54" s="703"/>
      <c r="AO54" s="703"/>
      <c r="AP54" s="703"/>
      <c r="AQ54" s="703"/>
      <c r="AR54" s="703"/>
      <c r="AS54" s="703"/>
      <c r="AT54" s="703"/>
      <c r="AU54" s="703"/>
      <c r="AV54" s="703"/>
      <c r="AW54" s="703"/>
      <c r="AX54" s="624" t="s">
        <v>2147</v>
      </c>
      <c r="AY54" s="49" t="s">
        <v>81</v>
      </c>
      <c r="AZ54" s="305" t="s">
        <v>514</v>
      </c>
      <c r="BA54" s="48" t="s">
        <v>1744</v>
      </c>
      <c r="BB54" s="48" t="s">
        <v>155</v>
      </c>
      <c r="BC54" s="624" t="s">
        <v>2147</v>
      </c>
      <c r="BD54" s="48" t="s">
        <v>2161</v>
      </c>
      <c r="BE54" s="176">
        <v>46185</v>
      </c>
      <c r="BF54" s="211">
        <v>46188</v>
      </c>
      <c r="BG54" s="211"/>
      <c r="BH54" s="211">
        <v>46196</v>
      </c>
      <c r="BI54" s="213" t="s">
        <v>2166</v>
      </c>
      <c r="BJ54" s="159" t="s">
        <v>2261</v>
      </c>
    </row>
    <row r="55" s="311" customFormat="1" ht="30" hidden="1" customHeight="1" spans="1:63">
      <c r="A55" s="208">
        <f t="shared" si="11"/>
        <v>52</v>
      </c>
      <c r="B55" s="48" t="s">
        <v>2158</v>
      </c>
      <c r="C55" s="49" t="s">
        <v>1882</v>
      </c>
      <c r="D55" s="50" t="s">
        <v>2164</v>
      </c>
      <c r="E55" s="50" t="s">
        <v>2165</v>
      </c>
      <c r="F55" s="52">
        <v>46125</v>
      </c>
      <c r="G55" s="52">
        <v>46185</v>
      </c>
      <c r="H55" s="52">
        <v>46185</v>
      </c>
      <c r="I55" s="53">
        <v>46154</v>
      </c>
      <c r="J55" s="327">
        <f t="shared" si="12"/>
        <v>5868</v>
      </c>
      <c r="K55" s="175">
        <v>18</v>
      </c>
      <c r="L55" s="772"/>
      <c r="M55" s="772"/>
      <c r="N55" s="772"/>
      <c r="O55" s="772">
        <v>652</v>
      </c>
      <c r="P55" s="772"/>
      <c r="Q55" s="772"/>
      <c r="R55" s="772"/>
      <c r="S55" s="772"/>
      <c r="T55" s="772"/>
      <c r="U55" s="175"/>
      <c r="V55" s="175"/>
      <c r="W55" s="175"/>
      <c r="X55" s="175"/>
      <c r="Y55" s="175"/>
      <c r="Z55" s="175"/>
      <c r="AA55" s="175"/>
      <c r="AB55" s="703"/>
      <c r="AC55" s="703"/>
      <c r="AD55" s="703"/>
      <c r="AE55" s="703"/>
      <c r="AF55" s="703"/>
      <c r="AG55" s="703"/>
      <c r="AH55" s="703"/>
      <c r="AI55" s="703"/>
      <c r="AJ55" s="703"/>
      <c r="AK55" s="703"/>
      <c r="AL55" s="703"/>
      <c r="AM55" s="703">
        <v>978</v>
      </c>
      <c r="AN55" s="703">
        <v>978</v>
      </c>
      <c r="AO55" s="703">
        <v>978</v>
      </c>
      <c r="AP55" s="703">
        <v>978</v>
      </c>
      <c r="AQ55" s="703">
        <v>652</v>
      </c>
      <c r="AR55" s="703">
        <v>652</v>
      </c>
      <c r="AS55" s="703"/>
      <c r="AT55" s="703"/>
      <c r="AU55" s="703"/>
      <c r="AV55" s="703"/>
      <c r="AW55" s="703"/>
      <c r="AX55" s="624" t="s">
        <v>2147</v>
      </c>
      <c r="AY55" s="49" t="s">
        <v>81</v>
      </c>
      <c r="AZ55" s="305" t="s">
        <v>514</v>
      </c>
      <c r="BA55" s="48" t="s">
        <v>1744</v>
      </c>
      <c r="BB55" s="48" t="s">
        <v>155</v>
      </c>
      <c r="BC55" s="624" t="s">
        <v>2147</v>
      </c>
      <c r="BD55" s="48" t="s">
        <v>2161</v>
      </c>
      <c r="BE55" s="176">
        <v>46185</v>
      </c>
      <c r="BF55" s="211">
        <v>46188</v>
      </c>
      <c r="BG55" s="211"/>
      <c r="BH55" s="211">
        <v>46196</v>
      </c>
      <c r="BI55" s="213" t="s">
        <v>2166</v>
      </c>
      <c r="BJ55" s="159" t="s">
        <v>2263</v>
      </c>
    </row>
    <row r="56" s="311" customFormat="1" ht="30" hidden="1" customHeight="1" spans="1:63">
      <c r="A56" s="208">
        <f t="shared" si="11"/>
        <v>53</v>
      </c>
      <c r="B56" s="48" t="s">
        <v>2167</v>
      </c>
      <c r="C56" s="49" t="s">
        <v>1882</v>
      </c>
      <c r="D56" s="50" t="s">
        <v>2168</v>
      </c>
      <c r="E56" s="50" t="s">
        <v>2169</v>
      </c>
      <c r="F56" s="52">
        <v>46114</v>
      </c>
      <c r="G56" s="52">
        <v>46198</v>
      </c>
      <c r="H56" s="52">
        <v>46198</v>
      </c>
      <c r="I56" s="53">
        <v>46161</v>
      </c>
      <c r="J56" s="327">
        <f t="shared" ref="J56:J65" si="13">SUBTOTAL(9,L56:AW56)</f>
        <v>0</v>
      </c>
      <c r="K56" s="175">
        <v>18</v>
      </c>
      <c r="L56" s="772"/>
      <c r="M56" s="772"/>
      <c r="N56" s="772"/>
      <c r="O56" s="772"/>
      <c r="P56" s="772"/>
      <c r="Q56" s="772"/>
      <c r="R56" s="772"/>
      <c r="S56" s="772"/>
      <c r="T56" s="772"/>
      <c r="U56" s="175"/>
      <c r="V56" s="175"/>
      <c r="W56" s="175"/>
      <c r="X56" s="175"/>
      <c r="Y56" s="772"/>
      <c r="Z56" s="175"/>
      <c r="AA56" s="175"/>
      <c r="AB56" s="703"/>
      <c r="AC56" s="703"/>
      <c r="AD56" s="703">
        <v>1112</v>
      </c>
      <c r="AE56" s="703">
        <v>1112</v>
      </c>
      <c r="AF56" s="703">
        <v>1112</v>
      </c>
      <c r="AG56" s="703">
        <v>1112</v>
      </c>
      <c r="AH56" s="703">
        <v>1112</v>
      </c>
      <c r="AI56" s="703">
        <v>1112</v>
      </c>
      <c r="AJ56" s="703">
        <v>1112</v>
      </c>
      <c r="AK56" s="703">
        <v>1112</v>
      </c>
      <c r="AL56" s="703">
        <v>1112</v>
      </c>
      <c r="AM56" s="703"/>
      <c r="AN56" s="703"/>
      <c r="AO56" s="703"/>
      <c r="AP56" s="703"/>
      <c r="AQ56" s="703"/>
      <c r="AR56" s="703"/>
      <c r="AS56" s="703"/>
      <c r="AT56" s="703"/>
      <c r="AU56" s="703"/>
      <c r="AV56" s="703"/>
      <c r="AW56" s="703"/>
      <c r="AX56" s="624" t="s">
        <v>2147</v>
      </c>
      <c r="AY56" s="49" t="s">
        <v>81</v>
      </c>
      <c r="AZ56" s="305" t="s">
        <v>514</v>
      </c>
      <c r="BA56" s="48" t="s">
        <v>1876</v>
      </c>
      <c r="BB56" s="48" t="s">
        <v>2170</v>
      </c>
      <c r="BC56" s="624" t="s">
        <v>2147</v>
      </c>
      <c r="BD56" s="48" t="s">
        <v>2161</v>
      </c>
      <c r="BE56" s="176">
        <v>46198</v>
      </c>
      <c r="BF56" s="211">
        <v>46199</v>
      </c>
      <c r="BG56" s="211"/>
      <c r="BH56" s="211">
        <v>46230</v>
      </c>
      <c r="BI56" s="213" t="s">
        <v>2171</v>
      </c>
      <c r="BJ56" s="159" t="s">
        <v>2261</v>
      </c>
      <c r="BK56" s="311" t="s">
        <v>2397</v>
      </c>
    </row>
    <row r="57" s="311" customFormat="1" ht="30" hidden="1" customHeight="1" spans="1:63">
      <c r="A57" s="208">
        <f t="shared" si="11"/>
        <v>54</v>
      </c>
      <c r="B57" s="48" t="s">
        <v>2167</v>
      </c>
      <c r="C57" s="49" t="s">
        <v>1882</v>
      </c>
      <c r="D57" s="50" t="s">
        <v>2168</v>
      </c>
      <c r="E57" s="50" t="s">
        <v>2169</v>
      </c>
      <c r="F57" s="52">
        <v>46114</v>
      </c>
      <c r="G57" s="52">
        <v>46198</v>
      </c>
      <c r="H57" s="52">
        <v>46198</v>
      </c>
      <c r="I57" s="53">
        <v>46161</v>
      </c>
      <c r="J57" s="327">
        <f t="shared" si="13"/>
        <v>0</v>
      </c>
      <c r="K57" s="175">
        <v>18</v>
      </c>
      <c r="L57" s="772"/>
      <c r="M57" s="772"/>
      <c r="N57" s="772"/>
      <c r="O57" s="772">
        <v>1112</v>
      </c>
      <c r="P57" s="772"/>
      <c r="Q57" s="772"/>
      <c r="R57" s="772"/>
      <c r="S57" s="772"/>
      <c r="T57" s="772"/>
      <c r="U57" s="175"/>
      <c r="V57" s="175"/>
      <c r="W57" s="175"/>
      <c r="X57" s="175"/>
      <c r="Y57" s="772"/>
      <c r="Z57" s="175"/>
      <c r="AA57" s="175"/>
      <c r="AB57" s="703"/>
      <c r="AC57" s="703"/>
      <c r="AD57" s="703"/>
      <c r="AE57" s="703"/>
      <c r="AF57" s="703"/>
      <c r="AG57" s="703"/>
      <c r="AH57" s="703"/>
      <c r="AI57" s="703"/>
      <c r="AJ57" s="703"/>
      <c r="AK57" s="703"/>
      <c r="AL57" s="703"/>
      <c r="AM57" s="703">
        <v>1668</v>
      </c>
      <c r="AN57" s="703">
        <v>1668</v>
      </c>
      <c r="AO57" s="703">
        <v>1668</v>
      </c>
      <c r="AP57" s="703">
        <v>1668</v>
      </c>
      <c r="AQ57" s="703">
        <v>1112</v>
      </c>
      <c r="AR57" s="703">
        <v>1112</v>
      </c>
      <c r="AS57" s="703"/>
      <c r="AT57" s="703"/>
      <c r="AU57" s="703"/>
      <c r="AV57" s="703"/>
      <c r="AW57" s="703"/>
      <c r="AX57" s="624" t="s">
        <v>2147</v>
      </c>
      <c r="AY57" s="49" t="s">
        <v>81</v>
      </c>
      <c r="AZ57" s="305" t="s">
        <v>514</v>
      </c>
      <c r="BA57" s="48" t="s">
        <v>1876</v>
      </c>
      <c r="BB57" s="48" t="s">
        <v>2170</v>
      </c>
      <c r="BC57" s="624" t="s">
        <v>2147</v>
      </c>
      <c r="BD57" s="48" t="s">
        <v>2161</v>
      </c>
      <c r="BE57" s="176">
        <v>46198</v>
      </c>
      <c r="BF57" s="211">
        <v>46199</v>
      </c>
      <c r="BG57" s="211"/>
      <c r="BH57" s="211">
        <v>46230</v>
      </c>
      <c r="BI57" s="213" t="s">
        <v>2171</v>
      </c>
      <c r="BJ57" s="159" t="s">
        <v>2263</v>
      </c>
    </row>
    <row r="58" s="311" customFormat="1" ht="30" hidden="1" customHeight="1" spans="1:63">
      <c r="A58" s="208">
        <f t="shared" si="11"/>
        <v>55</v>
      </c>
      <c r="B58" s="48" t="s">
        <v>2415</v>
      </c>
      <c r="C58" s="49" t="s">
        <v>1882</v>
      </c>
      <c r="D58" s="50" t="s">
        <v>2416</v>
      </c>
      <c r="E58" s="50" t="s">
        <v>2417</v>
      </c>
      <c r="F58" s="52">
        <v>46133</v>
      </c>
      <c r="G58" s="52">
        <v>46198</v>
      </c>
      <c r="H58" s="52">
        <v>46198</v>
      </c>
      <c r="I58" s="53">
        <v>46154</v>
      </c>
      <c r="J58" s="327">
        <f t="shared" si="13"/>
        <v>0</v>
      </c>
      <c r="K58" s="175">
        <v>18</v>
      </c>
      <c r="L58" s="772"/>
      <c r="M58" s="772"/>
      <c r="N58" s="772"/>
      <c r="O58" s="772"/>
      <c r="P58" s="772"/>
      <c r="Q58" s="772"/>
      <c r="R58" s="772"/>
      <c r="S58" s="772"/>
      <c r="T58" s="772"/>
      <c r="U58" s="175"/>
      <c r="V58" s="175"/>
      <c r="W58" s="175"/>
      <c r="X58" s="175"/>
      <c r="Y58" s="772"/>
      <c r="Z58" s="175"/>
      <c r="AA58" s="175"/>
      <c r="AB58" s="703"/>
      <c r="AC58" s="703"/>
      <c r="AD58" s="703">
        <v>1112</v>
      </c>
      <c r="AE58" s="703">
        <v>1112</v>
      </c>
      <c r="AF58" s="703">
        <v>1112</v>
      </c>
      <c r="AG58" s="703">
        <v>1112</v>
      </c>
      <c r="AH58" s="703">
        <v>1112</v>
      </c>
      <c r="AI58" s="703">
        <v>1112</v>
      </c>
      <c r="AJ58" s="703">
        <v>1112</v>
      </c>
      <c r="AK58" s="703">
        <v>1112</v>
      </c>
      <c r="AL58" s="703">
        <v>1112</v>
      </c>
      <c r="AM58" s="703"/>
      <c r="AN58" s="703"/>
      <c r="AO58" s="703"/>
      <c r="AP58" s="703"/>
      <c r="AQ58" s="703"/>
      <c r="AR58" s="703"/>
      <c r="AS58" s="703"/>
      <c r="AT58" s="703"/>
      <c r="AU58" s="703"/>
      <c r="AV58" s="703"/>
      <c r="AW58" s="703"/>
      <c r="AX58" s="624" t="s">
        <v>2147</v>
      </c>
      <c r="AY58" s="49" t="s">
        <v>81</v>
      </c>
      <c r="AZ58" s="305" t="s">
        <v>1393</v>
      </c>
      <c r="BA58" s="48" t="s">
        <v>1876</v>
      </c>
      <c r="BB58" s="48" t="s">
        <v>155</v>
      </c>
      <c r="BC58" s="624" t="s">
        <v>2147</v>
      </c>
      <c r="BD58" s="48" t="s">
        <v>2418</v>
      </c>
      <c r="BE58" s="176">
        <v>46198</v>
      </c>
      <c r="BF58" s="211">
        <v>46199</v>
      </c>
      <c r="BG58" s="211"/>
      <c r="BH58" s="211">
        <v>46220</v>
      </c>
      <c r="BI58" s="213"/>
      <c r="BJ58" s="159" t="s">
        <v>2261</v>
      </c>
      <c r="BK58" s="311" t="s">
        <v>2397</v>
      </c>
    </row>
    <row r="59" s="311" customFormat="1" ht="36" hidden="1" customHeight="1" spans="1:63">
      <c r="A59" s="208">
        <f t="shared" si="11"/>
        <v>56</v>
      </c>
      <c r="B59" s="48" t="s">
        <v>100</v>
      </c>
      <c r="C59" s="49" t="s">
        <v>101</v>
      </c>
      <c r="D59" s="50" t="s">
        <v>2419</v>
      </c>
      <c r="E59" s="50" t="s">
        <v>2420</v>
      </c>
      <c r="F59" s="52">
        <v>46079</v>
      </c>
      <c r="G59" s="52">
        <v>46213</v>
      </c>
      <c r="H59" s="52">
        <v>46213</v>
      </c>
      <c r="I59" s="53">
        <v>46090</v>
      </c>
      <c r="J59" s="327">
        <f t="shared" si="13"/>
        <v>0</v>
      </c>
      <c r="K59" s="175">
        <v>18</v>
      </c>
      <c r="L59" s="175">
        <v>14148</v>
      </c>
      <c r="M59" s="175">
        <v>15696</v>
      </c>
      <c r="N59" s="175"/>
      <c r="O59" s="175"/>
      <c r="P59" s="175"/>
      <c r="Q59" s="175"/>
      <c r="R59" s="175">
        <v>9684</v>
      </c>
      <c r="S59" s="175">
        <v>7074</v>
      </c>
      <c r="T59" s="175">
        <v>7596</v>
      </c>
      <c r="U59" s="175">
        <v>9540</v>
      </c>
      <c r="V59" s="175">
        <v>9324</v>
      </c>
      <c r="W59" s="175"/>
      <c r="X59" s="175"/>
      <c r="Y59" s="175">
        <v>11232</v>
      </c>
      <c r="Z59" s="175"/>
      <c r="AA59" s="175">
        <v>16236</v>
      </c>
      <c r="AB59" s="703"/>
      <c r="AC59" s="703"/>
      <c r="AD59" s="703"/>
      <c r="AE59" s="703"/>
      <c r="AF59" s="703"/>
      <c r="AG59" s="703"/>
      <c r="AH59" s="703"/>
      <c r="AI59" s="703"/>
      <c r="AJ59" s="703"/>
      <c r="AK59" s="703"/>
      <c r="AL59" s="703"/>
      <c r="AM59" s="703"/>
      <c r="AN59" s="703"/>
      <c r="AO59" s="703"/>
      <c r="AP59" s="703"/>
      <c r="AQ59" s="703"/>
      <c r="AR59" s="703"/>
      <c r="AS59" s="703"/>
      <c r="AT59" s="703"/>
      <c r="AU59" s="703"/>
      <c r="AV59" s="703"/>
      <c r="AW59" s="703"/>
      <c r="AX59" s="624" t="s">
        <v>2421</v>
      </c>
      <c r="AY59" s="49" t="s">
        <v>81</v>
      </c>
      <c r="AZ59" s="305" t="s">
        <v>168</v>
      </c>
      <c r="BA59" s="48" t="s">
        <v>2125</v>
      </c>
      <c r="BB59" s="48" t="s">
        <v>582</v>
      </c>
      <c r="BC59" s="624" t="s">
        <v>2421</v>
      </c>
      <c r="BD59" s="48" t="s">
        <v>2183</v>
      </c>
      <c r="BE59" s="176">
        <v>46213</v>
      </c>
      <c r="BF59" s="211">
        <v>46212</v>
      </c>
      <c r="BG59" s="211"/>
      <c r="BH59" s="211">
        <v>46225</v>
      </c>
      <c r="BI59" s="213" t="s">
        <v>2422</v>
      </c>
      <c r="BJ59" s="159" t="s">
        <v>2346</v>
      </c>
    </row>
    <row r="60" s="311" customFormat="1" ht="42" hidden="1" customHeight="1" spans="1:63">
      <c r="A60" s="208">
        <f t="shared" si="11"/>
        <v>57</v>
      </c>
      <c r="B60" s="48" t="s">
        <v>100</v>
      </c>
      <c r="C60" s="49" t="s">
        <v>101</v>
      </c>
      <c r="D60" s="50" t="s">
        <v>2180</v>
      </c>
      <c r="E60" s="50" t="s">
        <v>2181</v>
      </c>
      <c r="F60" s="52">
        <v>46079</v>
      </c>
      <c r="G60" s="52">
        <v>46231</v>
      </c>
      <c r="H60" s="52">
        <v>46231</v>
      </c>
      <c r="I60" s="53">
        <v>46090</v>
      </c>
      <c r="J60" s="327">
        <f t="shared" si="13"/>
        <v>0</v>
      </c>
      <c r="K60" s="175">
        <v>18</v>
      </c>
      <c r="L60" s="175">
        <v>12276</v>
      </c>
      <c r="M60" s="175">
        <v>19044</v>
      </c>
      <c r="N60" s="175"/>
      <c r="O60" s="175"/>
      <c r="P60" s="175"/>
      <c r="Q60" s="175"/>
      <c r="R60" s="175">
        <v>14724</v>
      </c>
      <c r="S60" s="175">
        <v>10584</v>
      </c>
      <c r="T60" s="175">
        <v>10998</v>
      </c>
      <c r="U60" s="175">
        <v>15984</v>
      </c>
      <c r="V60" s="175">
        <v>12690</v>
      </c>
      <c r="W60" s="175"/>
      <c r="X60" s="175"/>
      <c r="Y60" s="175">
        <v>12438</v>
      </c>
      <c r="Z60" s="175"/>
      <c r="AA60" s="175">
        <v>17766</v>
      </c>
      <c r="AB60" s="703"/>
      <c r="AC60" s="703"/>
      <c r="AD60" s="703"/>
      <c r="AE60" s="703"/>
      <c r="AF60" s="703"/>
      <c r="AG60" s="703"/>
      <c r="AH60" s="703"/>
      <c r="AI60" s="703"/>
      <c r="AJ60" s="703"/>
      <c r="AK60" s="703"/>
      <c r="AL60" s="703"/>
      <c r="AM60" s="703"/>
      <c r="AN60" s="703"/>
      <c r="AO60" s="703"/>
      <c r="AP60" s="703"/>
      <c r="AQ60" s="703"/>
      <c r="AR60" s="703"/>
      <c r="AS60" s="703"/>
      <c r="AT60" s="703"/>
      <c r="AU60" s="703"/>
      <c r="AV60" s="703"/>
      <c r="AW60" s="703"/>
      <c r="AX60" s="624" t="s">
        <v>2182</v>
      </c>
      <c r="AY60" s="49" t="s">
        <v>81</v>
      </c>
      <c r="AZ60" s="305" t="s">
        <v>2423</v>
      </c>
      <c r="BA60" s="48" t="s">
        <v>2125</v>
      </c>
      <c r="BB60" s="48" t="s">
        <v>582</v>
      </c>
      <c r="BC60" s="624" t="s">
        <v>2182</v>
      </c>
      <c r="BD60" s="48" t="s">
        <v>2183</v>
      </c>
      <c r="BE60" s="176">
        <v>46231</v>
      </c>
      <c r="BF60" s="318">
        <v>46241</v>
      </c>
      <c r="BG60" s="211" t="s">
        <v>2184</v>
      </c>
      <c r="BH60" s="211">
        <v>46248</v>
      </c>
      <c r="BI60" s="213" t="s">
        <v>2185</v>
      </c>
      <c r="BJ60" s="159" t="s">
        <v>2346</v>
      </c>
    </row>
    <row r="61" s="311" customFormat="1" ht="39" hidden="1" customHeight="1" spans="1:63">
      <c r="A61" s="208">
        <f t="shared" si="11"/>
        <v>58</v>
      </c>
      <c r="B61" s="49" t="s">
        <v>254</v>
      </c>
      <c r="C61" s="48" t="s">
        <v>77</v>
      </c>
      <c r="D61" s="50" t="s">
        <v>2424</v>
      </c>
      <c r="E61" s="50" t="s">
        <v>2425</v>
      </c>
      <c r="F61" s="52">
        <v>46106</v>
      </c>
      <c r="G61" s="52">
        <v>46234</v>
      </c>
      <c r="H61" s="52">
        <v>46234</v>
      </c>
      <c r="I61" s="53">
        <v>46161</v>
      </c>
      <c r="J61" s="327">
        <f t="shared" si="13"/>
        <v>0</v>
      </c>
      <c r="K61" s="175">
        <v>18</v>
      </c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703"/>
      <c r="AC61" s="703"/>
      <c r="AD61" s="703"/>
      <c r="AE61" s="703"/>
      <c r="AF61" s="703"/>
      <c r="AG61" s="703"/>
      <c r="AH61" s="703"/>
      <c r="AI61" s="703"/>
      <c r="AJ61" s="703"/>
      <c r="AK61" s="703"/>
      <c r="AL61" s="703">
        <v>1998</v>
      </c>
      <c r="AM61" s="703"/>
      <c r="AN61" s="703"/>
      <c r="AO61" s="703"/>
      <c r="AP61" s="703"/>
      <c r="AQ61" s="703"/>
      <c r="AR61" s="703"/>
      <c r="AS61" s="703"/>
      <c r="AT61" s="703"/>
      <c r="AU61" s="703"/>
      <c r="AV61" s="703"/>
      <c r="AW61" s="703"/>
      <c r="AX61" s="624" t="s">
        <v>554</v>
      </c>
      <c r="AY61" s="49" t="s">
        <v>81</v>
      </c>
      <c r="AZ61" s="305" t="s">
        <v>2426</v>
      </c>
      <c r="BA61" s="48" t="s">
        <v>1876</v>
      </c>
      <c r="BB61" s="48" t="s">
        <v>582</v>
      </c>
      <c r="BC61" s="624" t="s">
        <v>554</v>
      </c>
      <c r="BD61" s="48" t="s">
        <v>2427</v>
      </c>
      <c r="BE61" s="176">
        <v>46234</v>
      </c>
      <c r="BF61" s="211">
        <v>46239</v>
      </c>
      <c r="BG61" s="317"/>
      <c r="BH61" s="211">
        <v>46245</v>
      </c>
      <c r="BI61" s="213" t="s">
        <v>2428</v>
      </c>
      <c r="BJ61" s="159" t="s">
        <v>2429</v>
      </c>
      <c r="BK61" s="311" t="s">
        <v>2397</v>
      </c>
    </row>
    <row r="62" s="311" customFormat="1" ht="39" hidden="1" customHeight="1" spans="1:63">
      <c r="A62" s="208">
        <f t="shared" si="11"/>
        <v>59</v>
      </c>
      <c r="B62" s="48" t="s">
        <v>100</v>
      </c>
      <c r="C62" s="49" t="s">
        <v>101</v>
      </c>
      <c r="D62" s="50" t="s">
        <v>2191</v>
      </c>
      <c r="E62" s="50" t="s">
        <v>2192</v>
      </c>
      <c r="F62" s="52">
        <v>46101</v>
      </c>
      <c r="G62" s="52">
        <v>46245</v>
      </c>
      <c r="H62" s="52">
        <v>46245</v>
      </c>
      <c r="I62" s="53">
        <v>46157</v>
      </c>
      <c r="J62" s="327">
        <f t="shared" si="13"/>
        <v>0</v>
      </c>
      <c r="K62" s="175">
        <v>36</v>
      </c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703"/>
      <c r="AC62" s="703"/>
      <c r="AD62" s="703"/>
      <c r="AE62" s="703"/>
      <c r="AF62" s="703"/>
      <c r="AG62" s="703"/>
      <c r="AH62" s="703"/>
      <c r="AI62" s="703"/>
      <c r="AJ62" s="703">
        <v>7596</v>
      </c>
      <c r="AK62" s="703">
        <v>7596</v>
      </c>
      <c r="AL62" s="703"/>
      <c r="AM62" s="703"/>
      <c r="AN62" s="703"/>
      <c r="AO62" s="703"/>
      <c r="AP62" s="703"/>
      <c r="AQ62" s="703"/>
      <c r="AR62" s="703"/>
      <c r="AS62" s="703"/>
      <c r="AT62" s="703"/>
      <c r="AU62" s="703"/>
      <c r="AV62" s="703"/>
      <c r="AW62" s="703"/>
      <c r="AX62" s="624" t="s">
        <v>2188</v>
      </c>
      <c r="AY62" s="49" t="s">
        <v>81</v>
      </c>
      <c r="AZ62" s="305" t="s">
        <v>2189</v>
      </c>
      <c r="BA62" s="48" t="s">
        <v>1602</v>
      </c>
      <c r="BB62" s="48" t="s">
        <v>582</v>
      </c>
      <c r="BC62" s="624" t="s">
        <v>2188</v>
      </c>
      <c r="BD62" s="48" t="s">
        <v>2175</v>
      </c>
      <c r="BE62" s="176">
        <v>46245</v>
      </c>
      <c r="BF62" s="211">
        <v>46254</v>
      </c>
      <c r="BG62" s="317"/>
      <c r="BH62" s="211">
        <v>46263</v>
      </c>
      <c r="BI62" s="213" t="s">
        <v>2193</v>
      </c>
      <c r="BJ62" s="159" t="s">
        <v>2413</v>
      </c>
    </row>
    <row r="63" s="311" customFormat="1" ht="30" hidden="1" customHeight="1" spans="1:63">
      <c r="A63" s="208">
        <f t="shared" si="11"/>
        <v>60</v>
      </c>
      <c r="B63" s="48" t="s">
        <v>2430</v>
      </c>
      <c r="C63" s="49" t="s">
        <v>325</v>
      </c>
      <c r="D63" s="50" t="s">
        <v>2431</v>
      </c>
      <c r="E63" s="50" t="s">
        <v>2432</v>
      </c>
      <c r="F63" s="52">
        <v>46155</v>
      </c>
      <c r="G63" s="52">
        <v>46248</v>
      </c>
      <c r="H63" s="52">
        <v>46248</v>
      </c>
      <c r="I63" s="53">
        <v>46182</v>
      </c>
      <c r="J63" s="771">
        <f t="shared" si="13"/>
        <v>0</v>
      </c>
      <c r="K63" s="175">
        <v>18</v>
      </c>
      <c r="L63" s="772"/>
      <c r="M63" s="772"/>
      <c r="N63" s="772"/>
      <c r="O63" s="772"/>
      <c r="P63" s="772"/>
      <c r="Q63" s="772"/>
      <c r="R63" s="772"/>
      <c r="S63" s="772"/>
      <c r="T63" s="772"/>
      <c r="U63" s="175"/>
      <c r="V63" s="175"/>
      <c r="W63" s="175"/>
      <c r="X63" s="175"/>
      <c r="Y63" s="175"/>
      <c r="Z63" s="175"/>
      <c r="AA63" s="175"/>
      <c r="AB63" s="703"/>
      <c r="AC63" s="703"/>
      <c r="AD63" s="703">
        <v>334</v>
      </c>
      <c r="AE63" s="703">
        <v>334</v>
      </c>
      <c r="AF63" s="703">
        <v>334</v>
      </c>
      <c r="AG63" s="703">
        <v>334</v>
      </c>
      <c r="AH63" s="703">
        <v>334</v>
      </c>
      <c r="AI63" s="703">
        <v>334</v>
      </c>
      <c r="AJ63" s="703">
        <v>334</v>
      </c>
      <c r="AK63" s="703">
        <v>334</v>
      </c>
      <c r="AL63" s="703">
        <v>334</v>
      </c>
      <c r="AM63" s="703"/>
      <c r="AN63" s="703"/>
      <c r="AO63" s="703"/>
      <c r="AP63" s="703"/>
      <c r="AQ63" s="703"/>
      <c r="AR63" s="703"/>
      <c r="AS63" s="703"/>
      <c r="AT63" s="703"/>
      <c r="AU63" s="703"/>
      <c r="AV63" s="703"/>
      <c r="AW63" s="703"/>
      <c r="AX63" s="624" t="s">
        <v>1874</v>
      </c>
      <c r="AY63" s="49" t="s">
        <v>81</v>
      </c>
      <c r="AZ63" s="48" t="s">
        <v>2433</v>
      </c>
      <c r="BA63" s="48" t="s">
        <v>1602</v>
      </c>
      <c r="BB63" s="48" t="s">
        <v>2433</v>
      </c>
      <c r="BC63" s="624" t="s">
        <v>1874</v>
      </c>
      <c r="BD63" s="48" t="s">
        <v>2434</v>
      </c>
      <c r="BE63" s="176">
        <v>46248</v>
      </c>
      <c r="BF63" s="211">
        <v>46252</v>
      </c>
      <c r="BG63" s="211"/>
      <c r="BH63" s="211">
        <v>46259</v>
      </c>
      <c r="BI63" s="213" t="s">
        <v>2435</v>
      </c>
      <c r="BJ63" s="3" t="s">
        <v>2261</v>
      </c>
      <c r="BK63" s="311" t="s">
        <v>2397</v>
      </c>
    </row>
    <row r="64" s="311" customFormat="1" ht="25.5" hidden="1" customHeight="1" spans="1:63">
      <c r="A64" s="208">
        <f t="shared" si="11"/>
        <v>61</v>
      </c>
      <c r="B64" s="48" t="s">
        <v>2436</v>
      </c>
      <c r="C64" s="49" t="s">
        <v>77</v>
      </c>
      <c r="D64" s="50" t="s">
        <v>2437</v>
      </c>
      <c r="E64" s="50" t="s">
        <v>2438</v>
      </c>
      <c r="F64" s="52">
        <v>46176</v>
      </c>
      <c r="G64" s="52">
        <v>46254</v>
      </c>
      <c r="H64" s="52">
        <v>46254</v>
      </c>
      <c r="I64" s="53">
        <v>46195</v>
      </c>
      <c r="J64" s="771">
        <f t="shared" si="13"/>
        <v>0</v>
      </c>
      <c r="K64" s="175">
        <v>36</v>
      </c>
      <c r="L64" s="772"/>
      <c r="M64" s="772"/>
      <c r="N64" s="772"/>
      <c r="O64" s="780"/>
      <c r="P64" s="772"/>
      <c r="Q64" s="772"/>
      <c r="R64" s="772"/>
      <c r="S64" s="772"/>
      <c r="T64" s="772"/>
      <c r="U64" s="175"/>
      <c r="V64" s="175"/>
      <c r="W64" s="175"/>
      <c r="X64" s="175"/>
      <c r="Y64" s="175"/>
      <c r="Z64" s="175"/>
      <c r="AA64" s="175"/>
      <c r="AB64" s="703"/>
      <c r="AC64" s="703"/>
      <c r="AD64" s="703">
        <v>1300</v>
      </c>
      <c r="AE64" s="703">
        <v>1300</v>
      </c>
      <c r="AF64" s="703">
        <v>975</v>
      </c>
      <c r="AG64" s="703">
        <v>975</v>
      </c>
      <c r="AH64" s="703">
        <v>1300</v>
      </c>
      <c r="AI64" s="703">
        <v>1300</v>
      </c>
      <c r="AJ64" s="703">
        <v>1625</v>
      </c>
      <c r="AK64" s="703">
        <v>1300</v>
      </c>
      <c r="AL64" s="703">
        <v>1625</v>
      </c>
      <c r="AM64" s="703"/>
      <c r="AN64" s="703"/>
      <c r="AO64" s="703"/>
      <c r="AP64" s="703"/>
      <c r="AQ64" s="703"/>
      <c r="AR64" s="703"/>
      <c r="AS64" s="703"/>
      <c r="AT64" s="703"/>
      <c r="AU64" s="703"/>
      <c r="AV64" s="703"/>
      <c r="AW64" s="703"/>
      <c r="AX64" s="624" t="s">
        <v>1874</v>
      </c>
      <c r="AY64" s="49" t="s">
        <v>81</v>
      </c>
      <c r="AZ64" s="48" t="s">
        <v>2433</v>
      </c>
      <c r="BA64" s="48" t="s">
        <v>1602</v>
      </c>
      <c r="BB64" s="48" t="s">
        <v>2433</v>
      </c>
      <c r="BC64" s="624" t="s">
        <v>1874</v>
      </c>
      <c r="BD64" s="48" t="s">
        <v>2439</v>
      </c>
      <c r="BE64" s="176">
        <v>46254</v>
      </c>
      <c r="BF64" s="211">
        <v>46255</v>
      </c>
      <c r="BG64" s="211"/>
      <c r="BH64" s="211">
        <v>46263</v>
      </c>
      <c r="BI64" s="213" t="s">
        <v>2440</v>
      </c>
      <c r="BJ64" s="3" t="s">
        <v>2276</v>
      </c>
      <c r="BK64" s="311" t="s">
        <v>2441</v>
      </c>
    </row>
    <row r="65" s="3" customFormat="1" ht="27" customHeight="1" spans="1:64">
      <c r="A65" s="208">
        <f t="shared" si="11"/>
        <v>62</v>
      </c>
      <c r="B65" s="48" t="s">
        <v>2442</v>
      </c>
      <c r="C65" s="49" t="s">
        <v>114</v>
      </c>
      <c r="D65" s="50" t="s">
        <v>2443</v>
      </c>
      <c r="E65" s="50" t="s">
        <v>2444</v>
      </c>
      <c r="F65" s="52">
        <v>46147</v>
      </c>
      <c r="G65" s="52">
        <v>46251</v>
      </c>
      <c r="H65" s="52">
        <v>46251</v>
      </c>
      <c r="I65" s="53">
        <v>46226</v>
      </c>
      <c r="J65" s="327">
        <f t="shared" si="13"/>
        <v>360</v>
      </c>
      <c r="K65" s="175">
        <v>18</v>
      </c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703"/>
      <c r="AC65" s="703"/>
      <c r="AD65" s="703"/>
      <c r="AE65" s="703"/>
      <c r="AF65" s="703"/>
      <c r="AG65" s="703"/>
      <c r="AH65" s="703"/>
      <c r="AI65" s="703"/>
      <c r="AJ65" s="703"/>
      <c r="AK65" s="703"/>
      <c r="AL65" s="703">
        <v>360</v>
      </c>
      <c r="AM65" s="703"/>
      <c r="AN65" s="703"/>
      <c r="AO65" s="703"/>
      <c r="AP65" s="703"/>
      <c r="AQ65" s="703"/>
      <c r="AR65" s="703"/>
      <c r="AS65" s="703"/>
      <c r="AT65" s="703"/>
      <c r="AU65" s="703"/>
      <c r="AV65" s="703"/>
      <c r="AW65" s="703"/>
      <c r="AX65" s="624" t="s">
        <v>1874</v>
      </c>
      <c r="AY65" s="49" t="s">
        <v>81</v>
      </c>
      <c r="AZ65" s="211" t="s">
        <v>2445</v>
      </c>
      <c r="BA65" s="48" t="s">
        <v>1602</v>
      </c>
      <c r="BB65" s="48" t="s">
        <v>2446</v>
      </c>
      <c r="BC65" s="624" t="s">
        <v>1874</v>
      </c>
      <c r="BD65" s="48" t="s">
        <v>2447</v>
      </c>
      <c r="BE65" s="176">
        <v>46261</v>
      </c>
      <c r="BF65" s="211">
        <v>46266</v>
      </c>
      <c r="BG65" s="176"/>
      <c r="BH65" s="176"/>
      <c r="BI65" s="213" t="s">
        <v>2448</v>
      </c>
      <c r="BJ65" s="781" t="s">
        <v>2385</v>
      </c>
      <c r="BK65" s="311" t="s">
        <v>2441</v>
      </c>
      <c r="BL65" s="159"/>
    </row>
    <row r="66" s="3" customFormat="1" ht="27" hidden="1" customHeight="1" spans="1:64">
      <c r="A66" s="215">
        <f t="shared" si="11"/>
        <v>63</v>
      </c>
      <c r="B66" s="183" t="s">
        <v>2442</v>
      </c>
      <c r="C66" s="96"/>
      <c r="D66" s="216" t="s">
        <v>575</v>
      </c>
      <c r="E66" s="216"/>
      <c r="F66" s="217"/>
      <c r="G66" s="217"/>
      <c r="H66" s="217"/>
      <c r="I66" s="218"/>
      <c r="J66" s="294">
        <v>1</v>
      </c>
      <c r="K66" s="95">
        <v>1</v>
      </c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83"/>
      <c r="AC66" s="283"/>
      <c r="AD66" s="283"/>
      <c r="AE66" s="283"/>
      <c r="AF66" s="283"/>
      <c r="AG66" s="283"/>
      <c r="AH66" s="283"/>
      <c r="AI66" s="283"/>
      <c r="AJ66" s="283"/>
      <c r="AK66" s="283"/>
      <c r="AL66" s="283">
        <v>1</v>
      </c>
      <c r="AM66" s="283"/>
      <c r="AN66" s="283"/>
      <c r="AO66" s="283"/>
      <c r="AP66" s="283"/>
      <c r="AQ66" s="283"/>
      <c r="AR66" s="283"/>
      <c r="AS66" s="283"/>
      <c r="AT66" s="283"/>
      <c r="AU66" s="283"/>
      <c r="AV66" s="283"/>
      <c r="AW66" s="283"/>
      <c r="AX66" s="745" t="s">
        <v>1874</v>
      </c>
      <c r="AY66" s="96" t="s">
        <v>81</v>
      </c>
      <c r="AZ66" s="279"/>
      <c r="BA66" s="183"/>
      <c r="BB66" s="183"/>
      <c r="BC66" s="729" t="s">
        <v>1874</v>
      </c>
      <c r="BD66" s="782" t="s">
        <v>2449</v>
      </c>
      <c r="BE66" s="280"/>
      <c r="BF66" s="222"/>
      <c r="BG66" s="97"/>
      <c r="BH66" s="97">
        <v>46262</v>
      </c>
      <c r="BI66" s="224"/>
      <c r="BJ66" s="781"/>
      <c r="BK66" s="311"/>
      <c r="BL66" s="159"/>
    </row>
    <row r="67" s="311" customFormat="1" ht="39" customHeight="1" spans="1:64">
      <c r="A67" s="208">
        <f t="shared" si="11"/>
        <v>64</v>
      </c>
      <c r="B67" s="49" t="s">
        <v>254</v>
      </c>
      <c r="C67" s="48" t="s">
        <v>77</v>
      </c>
      <c r="D67" s="50" t="s">
        <v>2450</v>
      </c>
      <c r="E67" s="50" t="s">
        <v>2451</v>
      </c>
      <c r="F67" s="52">
        <v>46106</v>
      </c>
      <c r="G67" s="52">
        <v>46269</v>
      </c>
      <c r="H67" s="52">
        <v>46269</v>
      </c>
      <c r="I67" s="53">
        <v>46161</v>
      </c>
      <c r="J67" s="327">
        <f>SUBTOTAL(9,L67:AW67)</f>
        <v>3006</v>
      </c>
      <c r="K67" s="175">
        <v>18</v>
      </c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5"/>
      <c r="AB67" s="703"/>
      <c r="AC67" s="703"/>
      <c r="AD67" s="703"/>
      <c r="AE67" s="703"/>
      <c r="AF67" s="703"/>
      <c r="AG67" s="703"/>
      <c r="AH67" s="703"/>
      <c r="AI67" s="703"/>
      <c r="AJ67" s="703"/>
      <c r="AK67" s="703"/>
      <c r="AL67" s="703">
        <v>3006</v>
      </c>
      <c r="AM67" s="703"/>
      <c r="AN67" s="703"/>
      <c r="AO67" s="703"/>
      <c r="AP67" s="703"/>
      <c r="AQ67" s="703"/>
      <c r="AR67" s="703"/>
      <c r="AS67" s="703"/>
      <c r="AT67" s="703"/>
      <c r="AU67" s="703"/>
      <c r="AV67" s="703"/>
      <c r="AW67" s="703"/>
      <c r="AX67" s="624" t="s">
        <v>1874</v>
      </c>
      <c r="AY67" s="49" t="s">
        <v>81</v>
      </c>
      <c r="AZ67" s="305" t="s">
        <v>2433</v>
      </c>
      <c r="BA67" s="48" t="s">
        <v>2197</v>
      </c>
      <c r="BB67" s="48" t="s">
        <v>2452</v>
      </c>
      <c r="BC67" s="624" t="s">
        <v>1874</v>
      </c>
      <c r="BD67" s="48" t="s">
        <v>2427</v>
      </c>
      <c r="BE67" s="176">
        <v>46269</v>
      </c>
      <c r="BF67" s="211">
        <v>46266</v>
      </c>
      <c r="BG67" s="317"/>
      <c r="BH67" s="317"/>
      <c r="BI67" s="213" t="s">
        <v>2453</v>
      </c>
      <c r="BJ67" s="159" t="s">
        <v>2429</v>
      </c>
      <c r="BK67" s="311" t="s">
        <v>2397</v>
      </c>
    </row>
    <row r="68" s="3" customFormat="1" ht="27" customHeight="1" spans="1:64">
      <c r="A68" s="215">
        <f t="shared" si="11"/>
        <v>65</v>
      </c>
      <c r="B68" s="183" t="s">
        <v>2372</v>
      </c>
      <c r="C68" s="96" t="s">
        <v>726</v>
      </c>
      <c r="D68" s="293" t="s">
        <v>2454</v>
      </c>
      <c r="E68" s="216" t="s">
        <v>2455</v>
      </c>
      <c r="F68" s="217">
        <v>46174</v>
      </c>
      <c r="G68" s="217">
        <v>46276</v>
      </c>
      <c r="H68" s="217">
        <v>46276</v>
      </c>
      <c r="I68" s="218">
        <v>46181</v>
      </c>
      <c r="J68" s="282">
        <f>SUBTOTAL(9,L68:AW68)</f>
        <v>9666</v>
      </c>
      <c r="K68" s="95">
        <v>18</v>
      </c>
      <c r="L68" s="277"/>
      <c r="M68" s="277"/>
      <c r="N68" s="277"/>
      <c r="O68" s="277">
        <v>1074</v>
      </c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83"/>
      <c r="AA68" s="283"/>
      <c r="AB68" s="283"/>
      <c r="AC68" s="283"/>
      <c r="AD68" s="283"/>
      <c r="AE68" s="283"/>
      <c r="AF68" s="283"/>
      <c r="AG68" s="283"/>
      <c r="AH68" s="283"/>
      <c r="AI68" s="283"/>
      <c r="AJ68" s="283"/>
      <c r="AK68" s="283"/>
      <c r="AL68" s="283"/>
      <c r="AM68" s="283">
        <v>1611</v>
      </c>
      <c r="AN68" s="283">
        <v>1611</v>
      </c>
      <c r="AO68" s="283">
        <v>1611</v>
      </c>
      <c r="AP68" s="283">
        <v>1611</v>
      </c>
      <c r="AQ68" s="283">
        <v>1074</v>
      </c>
      <c r="AR68" s="283">
        <v>1074</v>
      </c>
      <c r="AS68" s="283"/>
      <c r="AT68" s="283"/>
      <c r="AU68" s="283"/>
      <c r="AV68" s="283"/>
      <c r="AW68" s="283"/>
      <c r="AX68" s="278" t="s">
        <v>2456</v>
      </c>
      <c r="AY68" s="220" t="s">
        <v>104</v>
      </c>
      <c r="AZ68" s="279" t="s">
        <v>2198</v>
      </c>
      <c r="BA68" s="183" t="s">
        <v>2197</v>
      </c>
      <c r="BB68" s="183" t="s">
        <v>2457</v>
      </c>
      <c r="BC68" s="320" t="s">
        <v>1444</v>
      </c>
      <c r="BD68" s="183" t="s">
        <v>2458</v>
      </c>
      <c r="BE68" s="280">
        <v>46276</v>
      </c>
      <c r="BF68" s="222">
        <v>46280</v>
      </c>
      <c r="BG68" s="97"/>
      <c r="BH68" s="97"/>
      <c r="BI68" s="224" t="s">
        <v>2459</v>
      </c>
      <c r="BJ68" s="3" t="s">
        <v>2390</v>
      </c>
      <c r="BK68" s="311" t="s">
        <v>2441</v>
      </c>
    </row>
    <row r="69" s="311" customFormat="1" ht="38.1" customHeight="1" spans="1:64">
      <c r="A69" s="208">
        <f t="shared" si="11"/>
        <v>66</v>
      </c>
      <c r="B69" s="48" t="s">
        <v>2372</v>
      </c>
      <c r="C69" s="49" t="s">
        <v>726</v>
      </c>
      <c r="D69" s="51" t="s">
        <v>2460</v>
      </c>
      <c r="E69" s="50" t="s">
        <v>2374</v>
      </c>
      <c r="F69" s="52">
        <v>46080</v>
      </c>
      <c r="G69" s="52">
        <v>46161</v>
      </c>
      <c r="H69" s="52">
        <v>46161</v>
      </c>
      <c r="I69" s="53">
        <v>46153</v>
      </c>
      <c r="J69" s="783">
        <f>SUBTOTAL(9,L69:AW69)</f>
        <v>1170</v>
      </c>
      <c r="K69" s="175">
        <v>18</v>
      </c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5"/>
      <c r="AB69" s="703"/>
      <c r="AC69" s="703"/>
      <c r="AD69" s="784">
        <v>130</v>
      </c>
      <c r="AE69" s="784">
        <v>130</v>
      </c>
      <c r="AF69" s="784">
        <v>130</v>
      </c>
      <c r="AG69" s="784">
        <v>130</v>
      </c>
      <c r="AH69" s="784">
        <v>130</v>
      </c>
      <c r="AI69" s="784">
        <v>130</v>
      </c>
      <c r="AJ69" s="784">
        <v>130</v>
      </c>
      <c r="AK69" s="784">
        <v>130</v>
      </c>
      <c r="AL69" s="784">
        <v>130</v>
      </c>
      <c r="AM69" s="703"/>
      <c r="AN69" s="703"/>
      <c r="AO69" s="703"/>
      <c r="AP69" s="703"/>
      <c r="AQ69" s="703"/>
      <c r="AR69" s="703"/>
      <c r="AS69" s="703"/>
      <c r="AT69" s="703"/>
      <c r="AU69" s="703"/>
      <c r="AV69" s="703"/>
      <c r="AW69" s="703"/>
      <c r="AX69" s="624" t="s">
        <v>1064</v>
      </c>
      <c r="AY69" s="214" t="s">
        <v>104</v>
      </c>
      <c r="AZ69" s="305" t="s">
        <v>2130</v>
      </c>
      <c r="BA69" s="48" t="s">
        <v>1744</v>
      </c>
      <c r="BB69" s="305" t="s">
        <v>2375</v>
      </c>
      <c r="BC69" s="624" t="s">
        <v>1064</v>
      </c>
      <c r="BD69" s="48" t="s">
        <v>2461</v>
      </c>
      <c r="BE69" s="176">
        <v>46276</v>
      </c>
      <c r="BF69" s="211">
        <v>46164</v>
      </c>
      <c r="BG69" s="211"/>
      <c r="BH69" s="211"/>
      <c r="BI69" s="213" t="s">
        <v>2377</v>
      </c>
      <c r="BJ69" s="3" t="s">
        <v>2378</v>
      </c>
    </row>
    <row r="70" s="311" customFormat="1" ht="38.1" customHeight="1" spans="1:64">
      <c r="A70" s="208">
        <f t="shared" si="11"/>
        <v>67</v>
      </c>
      <c r="B70" s="48" t="s">
        <v>2372</v>
      </c>
      <c r="C70" s="49" t="s">
        <v>726</v>
      </c>
      <c r="D70" s="51" t="s">
        <v>2462</v>
      </c>
      <c r="E70" s="50" t="s">
        <v>2387</v>
      </c>
      <c r="F70" s="52">
        <v>46080</v>
      </c>
      <c r="G70" s="52">
        <v>46177</v>
      </c>
      <c r="H70" s="52">
        <v>46177</v>
      </c>
      <c r="I70" s="53">
        <v>46147</v>
      </c>
      <c r="J70" s="783">
        <f>SUBTOTAL(9,L70:AW70)</f>
        <v>1170</v>
      </c>
      <c r="K70" s="175">
        <v>18</v>
      </c>
      <c r="L70" s="175"/>
      <c r="M70" s="175"/>
      <c r="N70" s="175"/>
      <c r="O70" s="175">
        <v>130</v>
      </c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703"/>
      <c r="AC70" s="703"/>
      <c r="AD70" s="703"/>
      <c r="AE70" s="703"/>
      <c r="AF70" s="703"/>
      <c r="AG70" s="703"/>
      <c r="AH70" s="703"/>
      <c r="AI70" s="703"/>
      <c r="AJ70" s="703"/>
      <c r="AK70" s="703"/>
      <c r="AL70" s="703"/>
      <c r="AM70" s="784">
        <v>195</v>
      </c>
      <c r="AN70" s="784">
        <v>195</v>
      </c>
      <c r="AO70" s="784">
        <v>195</v>
      </c>
      <c r="AP70" s="784">
        <v>195</v>
      </c>
      <c r="AQ70" s="784">
        <v>130</v>
      </c>
      <c r="AR70" s="784">
        <v>130</v>
      </c>
      <c r="AS70" s="703"/>
      <c r="AT70" s="703"/>
      <c r="AU70" s="703"/>
      <c r="AV70" s="703"/>
      <c r="AW70" s="703"/>
      <c r="AX70" s="624" t="s">
        <v>2147</v>
      </c>
      <c r="AY70" s="214" t="s">
        <v>104</v>
      </c>
      <c r="AZ70" s="305" t="s">
        <v>514</v>
      </c>
      <c r="BA70" s="48" t="s">
        <v>1744</v>
      </c>
      <c r="BB70" s="48" t="s">
        <v>144</v>
      </c>
      <c r="BC70" s="624" t="s">
        <v>2147</v>
      </c>
      <c r="BD70" s="48" t="s">
        <v>2461</v>
      </c>
      <c r="BE70" s="176">
        <v>46276</v>
      </c>
      <c r="BF70" s="211" t="s">
        <v>2388</v>
      </c>
      <c r="BG70" s="211"/>
      <c r="BH70" s="211"/>
      <c r="BI70" s="213" t="s">
        <v>2389</v>
      </c>
      <c r="BJ70" s="3" t="s">
        <v>2390</v>
      </c>
    </row>
    <row r="71" s="311" customFormat="1" ht="37.9" customHeight="1" spans="1:64">
      <c r="A71" s="215">
        <f t="shared" si="11"/>
        <v>68</v>
      </c>
      <c r="B71" s="183" t="s">
        <v>2277</v>
      </c>
      <c r="C71" s="96" t="s">
        <v>466</v>
      </c>
      <c r="D71" s="216" t="s">
        <v>2463</v>
      </c>
      <c r="E71" s="216" t="s">
        <v>2464</v>
      </c>
      <c r="F71" s="217">
        <v>46140</v>
      </c>
      <c r="G71" s="217">
        <v>46279</v>
      </c>
      <c r="H71" s="217">
        <v>46279</v>
      </c>
      <c r="I71" s="218">
        <v>46206</v>
      </c>
      <c r="J71" s="282">
        <f>SUBTOTAL(9,L71:AW71)</f>
        <v>4392</v>
      </c>
      <c r="K71" s="95">
        <v>36</v>
      </c>
      <c r="L71" s="785"/>
      <c r="M71" s="785"/>
      <c r="N71" s="785"/>
      <c r="O71" s="283">
        <v>488</v>
      </c>
      <c r="P71" s="785"/>
      <c r="Q71" s="785"/>
      <c r="R71" s="785"/>
      <c r="S71" s="785"/>
      <c r="T71" s="785"/>
      <c r="U71" s="277"/>
      <c r="V71" s="277"/>
      <c r="W71" s="277"/>
      <c r="X71" s="277"/>
      <c r="Y71" s="277"/>
      <c r="Z71" s="277"/>
      <c r="AA71" s="277"/>
      <c r="AB71" s="283"/>
      <c r="AC71" s="283"/>
      <c r="AD71" s="283"/>
      <c r="AE71" s="283"/>
      <c r="AF71" s="283"/>
      <c r="AG71" s="283"/>
      <c r="AH71" s="283"/>
      <c r="AI71" s="283"/>
      <c r="AJ71" s="283"/>
      <c r="AK71" s="283"/>
      <c r="AL71" s="283"/>
      <c r="AM71" s="283">
        <v>732</v>
      </c>
      <c r="AN71" s="283">
        <v>732</v>
      </c>
      <c r="AO71" s="283">
        <v>732</v>
      </c>
      <c r="AP71" s="283">
        <v>732</v>
      </c>
      <c r="AQ71" s="283">
        <v>488</v>
      </c>
      <c r="AR71" s="283">
        <v>488</v>
      </c>
      <c r="AS71" s="283"/>
      <c r="AT71" s="283"/>
      <c r="AU71" s="283"/>
      <c r="AV71" s="283"/>
      <c r="AW71" s="283"/>
      <c r="AX71" s="278" t="s">
        <v>1444</v>
      </c>
      <c r="AY71" s="96" t="s">
        <v>81</v>
      </c>
      <c r="AZ71" s="183" t="s">
        <v>2203</v>
      </c>
      <c r="BA71" s="183" t="s">
        <v>2197</v>
      </c>
      <c r="BB71" s="183" t="s">
        <v>629</v>
      </c>
      <c r="BC71" s="320" t="s">
        <v>1444</v>
      </c>
      <c r="BD71" s="183" t="s">
        <v>2465</v>
      </c>
      <c r="BE71" s="280">
        <v>46279</v>
      </c>
      <c r="BF71" s="279">
        <v>46281</v>
      </c>
      <c r="BG71" s="279"/>
      <c r="BH71" s="321"/>
      <c r="BI71" s="224" t="s">
        <v>2466</v>
      </c>
      <c r="BJ71" s="3" t="s">
        <v>2281</v>
      </c>
      <c r="BK71" s="311" t="s">
        <v>2441</v>
      </c>
    </row>
    <row r="72" s="311" customFormat="1" ht="37.9" hidden="1" customHeight="1" spans="1:64">
      <c r="A72" s="215">
        <f t="shared" si="11"/>
        <v>69</v>
      </c>
      <c r="B72" s="183" t="s">
        <v>2277</v>
      </c>
      <c r="C72" s="96"/>
      <c r="D72" s="786" t="s">
        <v>575</v>
      </c>
      <c r="E72" s="216"/>
      <c r="F72" s="217"/>
      <c r="G72" s="217"/>
      <c r="H72" s="217"/>
      <c r="I72" s="218"/>
      <c r="J72" s="282">
        <v>18</v>
      </c>
      <c r="K72" s="95">
        <v>18</v>
      </c>
      <c r="L72" s="785"/>
      <c r="M72" s="785"/>
      <c r="N72" s="785"/>
      <c r="O72" s="283">
        <v>2</v>
      </c>
      <c r="P72" s="785"/>
      <c r="Q72" s="785"/>
      <c r="R72" s="785"/>
      <c r="S72" s="785"/>
      <c r="T72" s="785"/>
      <c r="U72" s="277"/>
      <c r="V72" s="277"/>
      <c r="W72" s="277"/>
      <c r="X72" s="277"/>
      <c r="Y72" s="277"/>
      <c r="Z72" s="277"/>
      <c r="AA72" s="277"/>
      <c r="AB72" s="283"/>
      <c r="AC72" s="283"/>
      <c r="AD72" s="283"/>
      <c r="AE72" s="283"/>
      <c r="AF72" s="283"/>
      <c r="AG72" s="283"/>
      <c r="AH72" s="283"/>
      <c r="AI72" s="283"/>
      <c r="AJ72" s="283"/>
      <c r="AK72" s="283"/>
      <c r="AL72" s="283"/>
      <c r="AM72" s="283">
        <v>3</v>
      </c>
      <c r="AN72" s="283">
        <v>3</v>
      </c>
      <c r="AO72" s="283">
        <v>3</v>
      </c>
      <c r="AP72" s="283">
        <v>3</v>
      </c>
      <c r="AQ72" s="283">
        <v>2</v>
      </c>
      <c r="AR72" s="283">
        <v>2</v>
      </c>
      <c r="AS72" s="283"/>
      <c r="AT72" s="283"/>
      <c r="AU72" s="283"/>
      <c r="AV72" s="283"/>
      <c r="AW72" s="283"/>
      <c r="AX72" s="278" t="s">
        <v>1444</v>
      </c>
      <c r="AY72" s="96" t="s">
        <v>81</v>
      </c>
      <c r="AZ72" s="183" t="s">
        <v>84</v>
      </c>
      <c r="BA72" s="183"/>
      <c r="BB72" s="183"/>
      <c r="BC72" s="320" t="s">
        <v>1444</v>
      </c>
      <c r="BD72" s="782" t="s">
        <v>2206</v>
      </c>
      <c r="BE72" s="280">
        <v>46279</v>
      </c>
      <c r="BF72" s="279"/>
      <c r="BG72" s="279"/>
      <c r="BH72" s="279">
        <v>46262</v>
      </c>
      <c r="BI72" s="224" t="s">
        <v>2466</v>
      </c>
      <c r="BJ72" s="3" t="s">
        <v>2281</v>
      </c>
      <c r="BK72" s="311" t="s">
        <v>2441</v>
      </c>
    </row>
    <row r="73" s="3" customFormat="1" ht="34.15" customHeight="1" spans="1:64">
      <c r="A73" s="215">
        <f t="shared" si="11"/>
        <v>70</v>
      </c>
      <c r="B73" s="183" t="s">
        <v>2063</v>
      </c>
      <c r="C73" s="96" t="s">
        <v>466</v>
      </c>
      <c r="D73" s="216" t="s">
        <v>2467</v>
      </c>
      <c r="E73" s="216" t="s">
        <v>2468</v>
      </c>
      <c r="F73" s="217">
        <v>46140</v>
      </c>
      <c r="G73" s="217">
        <v>46279</v>
      </c>
      <c r="H73" s="217">
        <v>46279</v>
      </c>
      <c r="I73" s="218">
        <v>46206</v>
      </c>
      <c r="J73" s="282">
        <f t="shared" ref="J73:J78" si="14">SUBTOTAL(9,L73:AW73)</f>
        <v>6804</v>
      </c>
      <c r="K73" s="95">
        <v>36</v>
      </c>
      <c r="L73" s="277"/>
      <c r="M73" s="277"/>
      <c r="N73" s="277"/>
      <c r="O73" s="277">
        <v>756</v>
      </c>
      <c r="P73" s="277"/>
      <c r="Q73" s="277"/>
      <c r="R73" s="277"/>
      <c r="S73" s="277"/>
      <c r="T73" s="277"/>
      <c r="U73" s="277"/>
      <c r="V73" s="277"/>
      <c r="W73" s="277"/>
      <c r="X73" s="277"/>
      <c r="Y73" s="277"/>
      <c r="Z73" s="277"/>
      <c r="AA73" s="277"/>
      <c r="AB73" s="283"/>
      <c r="AC73" s="283"/>
      <c r="AD73" s="283"/>
      <c r="AE73" s="283"/>
      <c r="AF73" s="283"/>
      <c r="AG73" s="283"/>
      <c r="AH73" s="283"/>
      <c r="AI73" s="283"/>
      <c r="AJ73" s="283"/>
      <c r="AK73" s="283"/>
      <c r="AL73" s="283"/>
      <c r="AM73" s="283">
        <v>1134</v>
      </c>
      <c r="AN73" s="283">
        <v>1134</v>
      </c>
      <c r="AO73" s="283">
        <v>1134</v>
      </c>
      <c r="AP73" s="283">
        <v>1134</v>
      </c>
      <c r="AQ73" s="283">
        <v>756</v>
      </c>
      <c r="AR73" s="283">
        <v>756</v>
      </c>
      <c r="AS73" s="283"/>
      <c r="AT73" s="283"/>
      <c r="AU73" s="283"/>
      <c r="AV73" s="283"/>
      <c r="AW73" s="283"/>
      <c r="AX73" s="278" t="s">
        <v>1444</v>
      </c>
      <c r="AY73" s="96" t="s">
        <v>81</v>
      </c>
      <c r="AZ73" s="183" t="s">
        <v>2203</v>
      </c>
      <c r="BA73" s="183" t="s">
        <v>2197</v>
      </c>
      <c r="BB73" s="183" t="s">
        <v>629</v>
      </c>
      <c r="BC73" s="320" t="s">
        <v>1444</v>
      </c>
      <c r="BD73" s="183" t="s">
        <v>2465</v>
      </c>
      <c r="BE73" s="280">
        <v>46279</v>
      </c>
      <c r="BF73" s="279">
        <v>46281</v>
      </c>
      <c r="BG73" s="97"/>
      <c r="BH73" s="97"/>
      <c r="BI73" s="224" t="s">
        <v>2469</v>
      </c>
      <c r="BJ73" s="3" t="s">
        <v>2281</v>
      </c>
      <c r="BK73" s="311" t="s">
        <v>2441</v>
      </c>
    </row>
    <row r="74" s="3" customFormat="1" ht="30" customHeight="1" spans="1:64">
      <c r="A74" s="215">
        <f t="shared" si="11"/>
        <v>71</v>
      </c>
      <c r="B74" s="183" t="s">
        <v>2287</v>
      </c>
      <c r="C74" s="96" t="s">
        <v>466</v>
      </c>
      <c r="D74" s="216" t="s">
        <v>2470</v>
      </c>
      <c r="E74" s="216" t="s">
        <v>2471</v>
      </c>
      <c r="F74" s="217">
        <v>46140</v>
      </c>
      <c r="G74" s="217">
        <v>46279</v>
      </c>
      <c r="H74" s="217">
        <v>46279</v>
      </c>
      <c r="I74" s="218">
        <v>46206</v>
      </c>
      <c r="J74" s="282">
        <f t="shared" si="14"/>
        <v>240</v>
      </c>
      <c r="K74" s="95">
        <v>48</v>
      </c>
      <c r="L74" s="277"/>
      <c r="M74" s="277"/>
      <c r="N74" s="277"/>
      <c r="O74" s="277">
        <v>25</v>
      </c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  <c r="AA74" s="277"/>
      <c r="AB74" s="283"/>
      <c r="AC74" s="283"/>
      <c r="AD74" s="283"/>
      <c r="AE74" s="283"/>
      <c r="AF74" s="283"/>
      <c r="AG74" s="283"/>
      <c r="AH74" s="283"/>
      <c r="AI74" s="283"/>
      <c r="AJ74" s="283"/>
      <c r="AK74" s="283"/>
      <c r="AL74" s="283"/>
      <c r="AM74" s="283">
        <v>40</v>
      </c>
      <c r="AN74" s="283">
        <v>40</v>
      </c>
      <c r="AO74" s="283">
        <v>40</v>
      </c>
      <c r="AP74" s="283">
        <v>40</v>
      </c>
      <c r="AQ74" s="283">
        <v>30</v>
      </c>
      <c r="AR74" s="283">
        <v>25</v>
      </c>
      <c r="AS74" s="283"/>
      <c r="AT74" s="283"/>
      <c r="AU74" s="283"/>
      <c r="AV74" s="283"/>
      <c r="AW74" s="283"/>
      <c r="AX74" s="278" t="s">
        <v>1444</v>
      </c>
      <c r="AY74" s="96" t="s">
        <v>81</v>
      </c>
      <c r="AZ74" s="183" t="s">
        <v>2203</v>
      </c>
      <c r="BA74" s="183" t="s">
        <v>2197</v>
      </c>
      <c r="BB74" s="183" t="s">
        <v>629</v>
      </c>
      <c r="BC74" s="320" t="s">
        <v>1444</v>
      </c>
      <c r="BD74" s="183" t="s">
        <v>2472</v>
      </c>
      <c r="BE74" s="280">
        <v>46279</v>
      </c>
      <c r="BF74" s="279">
        <v>46281</v>
      </c>
      <c r="BG74" s="97"/>
      <c r="BH74" s="97"/>
      <c r="BI74" s="224" t="s">
        <v>2473</v>
      </c>
      <c r="BJ74" s="3" t="s">
        <v>2290</v>
      </c>
      <c r="BK74" s="311" t="s">
        <v>2441</v>
      </c>
    </row>
    <row r="75" s="3" customFormat="1" ht="30" customHeight="1" spans="1:64">
      <c r="A75" s="215">
        <f t="shared" si="11"/>
        <v>72</v>
      </c>
      <c r="B75" s="183" t="s">
        <v>2474</v>
      </c>
      <c r="C75" s="96" t="s">
        <v>466</v>
      </c>
      <c r="D75" s="216" t="s">
        <v>2475</v>
      </c>
      <c r="E75" s="216" t="s">
        <v>2476</v>
      </c>
      <c r="F75" s="217">
        <v>46140</v>
      </c>
      <c r="G75" s="217">
        <v>46279</v>
      </c>
      <c r="H75" s="217">
        <v>46279</v>
      </c>
      <c r="I75" s="218">
        <v>46206</v>
      </c>
      <c r="J75" s="282">
        <f t="shared" si="14"/>
        <v>384</v>
      </c>
      <c r="K75" s="95">
        <v>48</v>
      </c>
      <c r="L75" s="277"/>
      <c r="M75" s="277"/>
      <c r="N75" s="277"/>
      <c r="O75" s="277">
        <v>40</v>
      </c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  <c r="AA75" s="277"/>
      <c r="AB75" s="283"/>
      <c r="AC75" s="283"/>
      <c r="AD75" s="283"/>
      <c r="AE75" s="283"/>
      <c r="AF75" s="283"/>
      <c r="AG75" s="283"/>
      <c r="AH75" s="283"/>
      <c r="AI75" s="283"/>
      <c r="AJ75" s="283"/>
      <c r="AK75" s="283"/>
      <c r="AL75" s="283"/>
      <c r="AM75" s="283">
        <v>64</v>
      </c>
      <c r="AN75" s="283">
        <v>64</v>
      </c>
      <c r="AO75" s="283">
        <v>64</v>
      </c>
      <c r="AP75" s="283">
        <v>64</v>
      </c>
      <c r="AQ75" s="283">
        <v>48</v>
      </c>
      <c r="AR75" s="283">
        <v>40</v>
      </c>
      <c r="AS75" s="283"/>
      <c r="AT75" s="283"/>
      <c r="AU75" s="283"/>
      <c r="AV75" s="283"/>
      <c r="AW75" s="283"/>
      <c r="AX75" s="278" t="s">
        <v>1444</v>
      </c>
      <c r="AY75" s="96" t="s">
        <v>81</v>
      </c>
      <c r="AZ75" s="183" t="s">
        <v>2203</v>
      </c>
      <c r="BA75" s="183" t="s">
        <v>2197</v>
      </c>
      <c r="BB75" s="183" t="s">
        <v>629</v>
      </c>
      <c r="BC75" s="320" t="s">
        <v>1444</v>
      </c>
      <c r="BD75" s="183" t="s">
        <v>2472</v>
      </c>
      <c r="BE75" s="280">
        <v>46279</v>
      </c>
      <c r="BF75" s="279">
        <v>46281</v>
      </c>
      <c r="BG75" s="97"/>
      <c r="BH75" s="97"/>
      <c r="BI75" s="224" t="s">
        <v>2477</v>
      </c>
      <c r="BJ75" s="3" t="s">
        <v>2290</v>
      </c>
      <c r="BK75" s="311" t="s">
        <v>2441</v>
      </c>
    </row>
    <row r="76" s="311" customFormat="1" ht="39" customHeight="1" spans="1:64">
      <c r="A76" s="215">
        <f t="shared" si="11"/>
        <v>73</v>
      </c>
      <c r="B76" s="183" t="s">
        <v>100</v>
      </c>
      <c r="C76" s="96" t="s">
        <v>101</v>
      </c>
      <c r="D76" s="216" t="s">
        <v>2220</v>
      </c>
      <c r="E76" s="216" t="s">
        <v>2221</v>
      </c>
      <c r="F76" s="217">
        <v>46101</v>
      </c>
      <c r="G76" s="217">
        <v>46304</v>
      </c>
      <c r="H76" s="217">
        <v>46304</v>
      </c>
      <c r="I76" s="218">
        <v>46157</v>
      </c>
      <c r="J76" s="294">
        <f t="shared" si="14"/>
        <v>15192</v>
      </c>
      <c r="K76" s="95">
        <v>36</v>
      </c>
      <c r="L76" s="277"/>
      <c r="M76" s="277"/>
      <c r="N76" s="277"/>
      <c r="O76" s="277"/>
      <c r="P76" s="277"/>
      <c r="Q76" s="277"/>
      <c r="R76" s="277"/>
      <c r="S76" s="277"/>
      <c r="T76" s="277"/>
      <c r="U76" s="277"/>
      <c r="V76" s="277"/>
      <c r="W76" s="277"/>
      <c r="X76" s="277"/>
      <c r="Y76" s="277"/>
      <c r="Z76" s="277"/>
      <c r="AA76" s="277"/>
      <c r="AB76" s="283"/>
      <c r="AC76" s="283"/>
      <c r="AD76" s="283"/>
      <c r="AE76" s="283"/>
      <c r="AF76" s="283"/>
      <c r="AG76" s="283"/>
      <c r="AH76" s="283"/>
      <c r="AI76" s="283"/>
      <c r="AJ76" s="283">
        <v>7596</v>
      </c>
      <c r="AK76" s="283">
        <v>7596</v>
      </c>
      <c r="AL76" s="283"/>
      <c r="AM76" s="283"/>
      <c r="AN76" s="283"/>
      <c r="AO76" s="283"/>
      <c r="AP76" s="283"/>
      <c r="AQ76" s="283"/>
      <c r="AR76" s="283"/>
      <c r="AS76" s="283"/>
      <c r="AT76" s="283"/>
      <c r="AU76" s="283"/>
      <c r="AV76" s="283"/>
      <c r="AW76" s="283"/>
      <c r="AX76" s="278" t="s">
        <v>1444</v>
      </c>
      <c r="AY76" s="96" t="s">
        <v>81</v>
      </c>
      <c r="AZ76" s="297" t="s">
        <v>2196</v>
      </c>
      <c r="BA76" s="183" t="s">
        <v>2197</v>
      </c>
      <c r="BB76" s="183" t="s">
        <v>1469</v>
      </c>
      <c r="BC76" s="320" t="s">
        <v>1444</v>
      </c>
      <c r="BD76" s="183" t="s">
        <v>2175</v>
      </c>
      <c r="BE76" s="280">
        <v>46304</v>
      </c>
      <c r="BF76" s="279"/>
      <c r="BG76" s="321"/>
      <c r="BH76" s="321"/>
      <c r="BI76" s="787" t="s">
        <v>2222</v>
      </c>
      <c r="BJ76" s="159" t="s">
        <v>2413</v>
      </c>
    </row>
    <row r="77" s="311" customFormat="1" ht="42" customHeight="1" spans="1:64">
      <c r="A77" s="215">
        <f t="shared" si="11"/>
        <v>74</v>
      </c>
      <c r="B77" s="183" t="s">
        <v>2405</v>
      </c>
      <c r="C77" s="96" t="s">
        <v>101</v>
      </c>
      <c r="D77" s="216" t="s">
        <v>2478</v>
      </c>
      <c r="E77" s="216" t="s">
        <v>2479</v>
      </c>
      <c r="F77" s="217">
        <v>46234</v>
      </c>
      <c r="G77" s="217">
        <v>46280</v>
      </c>
      <c r="H77" s="217">
        <v>46308</v>
      </c>
      <c r="I77" s="218">
        <v>46254</v>
      </c>
      <c r="J77" s="294">
        <f t="shared" si="14"/>
        <v>3024</v>
      </c>
      <c r="K77" s="95">
        <v>36</v>
      </c>
      <c r="L77" s="277"/>
      <c r="M77" s="277">
        <v>1008</v>
      </c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>
        <v>1008</v>
      </c>
      <c r="Z77" s="277"/>
      <c r="AA77" s="277">
        <v>1008</v>
      </c>
      <c r="AB77" s="283"/>
      <c r="AC77" s="283"/>
      <c r="AD77" s="283"/>
      <c r="AE77" s="283"/>
      <c r="AF77" s="283"/>
      <c r="AG77" s="283"/>
      <c r="AH77" s="283"/>
      <c r="AI77" s="283"/>
      <c r="AJ77" s="283"/>
      <c r="AK77" s="283"/>
      <c r="AL77" s="283"/>
      <c r="AM77" s="283"/>
      <c r="AN77" s="283"/>
      <c r="AO77" s="283"/>
      <c r="AP77" s="283"/>
      <c r="AQ77" s="283"/>
      <c r="AR77" s="283"/>
      <c r="AS77" s="283"/>
      <c r="AT77" s="283"/>
      <c r="AU77" s="283"/>
      <c r="AV77" s="283"/>
      <c r="AW77" s="283"/>
      <c r="AX77" s="745" t="s">
        <v>2480</v>
      </c>
      <c r="AY77" s="96" t="s">
        <v>81</v>
      </c>
      <c r="AZ77" s="297" t="s">
        <v>1469</v>
      </c>
      <c r="BA77" s="183" t="s">
        <v>1609</v>
      </c>
      <c r="BB77" s="183" t="s">
        <v>2481</v>
      </c>
      <c r="BC77" s="729" t="s">
        <v>2480</v>
      </c>
      <c r="BD77" s="183" t="s">
        <v>2482</v>
      </c>
      <c r="BE77" s="280">
        <v>46308</v>
      </c>
      <c r="BF77" s="788"/>
      <c r="BG77" s="788" t="s">
        <v>1820</v>
      </c>
      <c r="BH77" s="321"/>
      <c r="BI77" s="224" t="s">
        <v>2483</v>
      </c>
      <c r="BJ77" s="159" t="s">
        <v>2484</v>
      </c>
      <c r="BK77" s="311" t="s">
        <v>2485</v>
      </c>
    </row>
    <row r="78" s="763" customFormat="1" ht="25.5" customHeight="1" spans="1:64">
      <c r="A78" s="486">
        <f t="shared" si="11"/>
        <v>75</v>
      </c>
      <c r="B78" s="487" t="s">
        <v>2436</v>
      </c>
      <c r="C78" s="146" t="s">
        <v>77</v>
      </c>
      <c r="D78" s="488" t="s">
        <v>2486</v>
      </c>
      <c r="E78" s="216" t="s">
        <v>2487</v>
      </c>
      <c r="F78" s="489">
        <v>46261</v>
      </c>
      <c r="G78" s="489">
        <v>46295</v>
      </c>
      <c r="H78" s="489">
        <v>46339</v>
      </c>
      <c r="I78" s="490">
        <v>46273</v>
      </c>
      <c r="J78" s="789">
        <v>8964</v>
      </c>
      <c r="K78" s="727">
        <v>36</v>
      </c>
      <c r="L78" s="790"/>
      <c r="M78" s="790"/>
      <c r="N78" s="790"/>
      <c r="O78" s="791"/>
      <c r="P78" s="790"/>
      <c r="Q78" s="790"/>
      <c r="R78" s="790"/>
      <c r="S78" s="790"/>
      <c r="T78" s="790"/>
      <c r="U78" s="727"/>
      <c r="V78" s="727"/>
      <c r="W78" s="727"/>
      <c r="X78" s="727"/>
      <c r="Y78" s="727"/>
      <c r="Z78" s="727"/>
      <c r="AA78" s="727"/>
      <c r="AB78" s="792"/>
      <c r="AC78" s="792"/>
      <c r="AD78" s="792">
        <f t="shared" ref="AD78:AL78" si="15">$J78/$K78*4</f>
        <v>996</v>
      </c>
      <c r="AE78" s="792">
        <f t="shared" si="15"/>
        <v>996</v>
      </c>
      <c r="AF78" s="792">
        <f>$J78/$K78*3</f>
        <v>747</v>
      </c>
      <c r="AG78" s="792">
        <f>$J78/$K78*3</f>
        <v>747</v>
      </c>
      <c r="AH78" s="792">
        <f t="shared" si="15"/>
        <v>996</v>
      </c>
      <c r="AI78" s="792">
        <f t="shared" si="15"/>
        <v>996</v>
      </c>
      <c r="AJ78" s="792">
        <f>$J78/$K78*5</f>
        <v>1245</v>
      </c>
      <c r="AK78" s="792">
        <f t="shared" si="15"/>
        <v>996</v>
      </c>
      <c r="AL78" s="792">
        <f>$J78/$K78*5</f>
        <v>1245</v>
      </c>
      <c r="AM78" s="792"/>
      <c r="AN78" s="792"/>
      <c r="AO78" s="792"/>
      <c r="AP78" s="792"/>
      <c r="AQ78" s="792"/>
      <c r="AR78" s="792"/>
      <c r="AS78" s="792"/>
      <c r="AT78" s="792"/>
      <c r="AU78" s="792"/>
      <c r="AV78" s="792"/>
      <c r="AW78" s="792"/>
      <c r="AX78" s="745" t="s">
        <v>2480</v>
      </c>
      <c r="AY78" s="146" t="s">
        <v>81</v>
      </c>
      <c r="AZ78" s="487" t="s">
        <v>2488</v>
      </c>
      <c r="BA78" s="183" t="s">
        <v>1609</v>
      </c>
      <c r="BB78" s="487"/>
      <c r="BC78" s="793" t="s">
        <v>2480</v>
      </c>
      <c r="BD78" s="487" t="s">
        <v>2489</v>
      </c>
      <c r="BE78" s="280">
        <v>46339</v>
      </c>
      <c r="BF78" s="794"/>
      <c r="BG78" s="794"/>
      <c r="BH78" s="795"/>
      <c r="BI78" s="796" t="s">
        <v>2490</v>
      </c>
      <c r="BJ78" s="797" t="s">
        <v>2276</v>
      </c>
    </row>
    <row r="79" s="3" customFormat="1" ht="27" customHeight="1" spans="1:64">
      <c r="A79" s="215">
        <f t="shared" si="11"/>
        <v>76</v>
      </c>
      <c r="B79" s="183"/>
      <c r="C79" s="96"/>
      <c r="D79" s="216"/>
      <c r="E79" s="216"/>
      <c r="F79" s="217"/>
      <c r="G79" s="217"/>
      <c r="H79" s="217"/>
      <c r="I79" s="218"/>
      <c r="J79" s="282"/>
      <c r="K79" s="95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77"/>
      <c r="AB79" s="283"/>
      <c r="AC79" s="283"/>
      <c r="AD79" s="283"/>
      <c r="AE79" s="283"/>
      <c r="AF79" s="283"/>
      <c r="AG79" s="283"/>
      <c r="AH79" s="283"/>
      <c r="AI79" s="283"/>
      <c r="AJ79" s="283"/>
      <c r="AK79" s="283"/>
      <c r="AL79" s="283"/>
      <c r="AM79" s="283"/>
      <c r="AN79" s="283"/>
      <c r="AO79" s="283"/>
      <c r="AP79" s="283"/>
      <c r="AQ79" s="283"/>
      <c r="AR79" s="283"/>
      <c r="AS79" s="283"/>
      <c r="AT79" s="283"/>
      <c r="AU79" s="283"/>
      <c r="AV79" s="283"/>
      <c r="AW79" s="283"/>
      <c r="AX79" s="278"/>
      <c r="AY79" s="96"/>
      <c r="AZ79" s="279"/>
      <c r="BA79" s="279"/>
      <c r="BB79" s="183"/>
      <c r="BC79" s="183"/>
      <c r="BD79" s="183"/>
      <c r="BE79" s="280"/>
      <c r="BF79" s="222"/>
      <c r="BG79" s="97"/>
      <c r="BH79" s="97"/>
      <c r="BI79" s="224"/>
    </row>
    <row r="80" s="3" customFormat="1" ht="27" customHeight="1" spans="1:64">
      <c r="A80" s="215">
        <f t="shared" si="11"/>
        <v>77</v>
      </c>
      <c r="B80" s="183"/>
      <c r="C80" s="96"/>
      <c r="D80" s="216"/>
      <c r="E80" s="216"/>
      <c r="F80" s="217"/>
      <c r="G80" s="217"/>
      <c r="H80" s="217"/>
      <c r="I80" s="218"/>
      <c r="J80" s="282"/>
      <c r="K80" s="95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283"/>
      <c r="AC80" s="283"/>
      <c r="AD80" s="283"/>
      <c r="AE80" s="283"/>
      <c r="AF80" s="283"/>
      <c r="AG80" s="283"/>
      <c r="AH80" s="283"/>
      <c r="AI80" s="283"/>
      <c r="AJ80" s="283"/>
      <c r="AK80" s="283"/>
      <c r="AL80" s="283"/>
      <c r="AM80" s="283"/>
      <c r="AN80" s="283"/>
      <c r="AO80" s="283"/>
      <c r="AP80" s="283"/>
      <c r="AQ80" s="283"/>
      <c r="AR80" s="283"/>
      <c r="AS80" s="283"/>
      <c r="AT80" s="283"/>
      <c r="AU80" s="283"/>
      <c r="AV80" s="283"/>
      <c r="AW80" s="283"/>
      <c r="AX80" s="278"/>
      <c r="AY80" s="96"/>
      <c r="AZ80" s="279"/>
      <c r="BA80" s="279"/>
      <c r="BB80" s="183"/>
      <c r="BC80" s="183"/>
      <c r="BD80" s="183"/>
      <c r="BE80" s="280"/>
      <c r="BF80" s="222"/>
      <c r="BG80" s="97"/>
      <c r="BH80" s="97"/>
      <c r="BI80" s="224"/>
    </row>
    <row r="81" s="3" customFormat="1" ht="17.1" customHeight="1" spans="1:62">
      <c r="A81" s="93" t="s">
        <v>66</v>
      </c>
      <c r="B81" s="94"/>
      <c r="C81" s="94"/>
      <c r="D81" s="94"/>
      <c r="E81" s="94"/>
      <c r="F81" s="94"/>
      <c r="G81" s="94"/>
      <c r="H81" s="94"/>
      <c r="I81" s="94"/>
      <c r="J81" s="95">
        <f>SUM(J5:J80)</f>
        <v>937549</v>
      </c>
      <c r="K81" s="95"/>
      <c r="L81" s="95">
        <f t="shared" ref="L81:AW81" si="16">SUM(L5:L80)</f>
        <v>125626</v>
      </c>
      <c r="M81" s="95">
        <f t="shared" si="16"/>
        <v>148108</v>
      </c>
      <c r="N81" s="95">
        <f t="shared" si="16"/>
        <v>19840</v>
      </c>
      <c r="O81" s="95">
        <f t="shared" si="16"/>
        <v>68020</v>
      </c>
      <c r="P81" s="95">
        <f t="shared" si="16"/>
        <v>6428</v>
      </c>
      <c r="Q81" s="95">
        <f t="shared" si="16"/>
        <v>44250</v>
      </c>
      <c r="R81" s="95">
        <f t="shared" si="16"/>
        <v>120498</v>
      </c>
      <c r="S81" s="95">
        <f t="shared" si="16"/>
        <v>95460</v>
      </c>
      <c r="T81" s="95">
        <f t="shared" si="16"/>
        <v>108966</v>
      </c>
      <c r="U81" s="95">
        <f t="shared" si="16"/>
        <v>93733</v>
      </c>
      <c r="V81" s="95">
        <f t="shared" si="16"/>
        <v>87721</v>
      </c>
      <c r="W81" s="95">
        <f t="shared" si="16"/>
        <v>300</v>
      </c>
      <c r="X81" s="95">
        <f t="shared" si="16"/>
        <v>20140</v>
      </c>
      <c r="Y81" s="95">
        <f t="shared" si="16"/>
        <v>89116</v>
      </c>
      <c r="Z81" s="95">
        <f t="shared" si="16"/>
        <v>1614</v>
      </c>
      <c r="AA81" s="95">
        <f t="shared" si="16"/>
        <v>92370</v>
      </c>
      <c r="AB81" s="95">
        <f t="shared" si="16"/>
        <v>2121</v>
      </c>
      <c r="AC81" s="95">
        <f t="shared" si="16"/>
        <v>2121</v>
      </c>
      <c r="AD81" s="95">
        <f t="shared" si="16"/>
        <v>23840</v>
      </c>
      <c r="AE81" s="95">
        <f t="shared" si="16"/>
        <v>23840</v>
      </c>
      <c r="AF81" s="95">
        <f t="shared" si="16"/>
        <v>19970</v>
      </c>
      <c r="AG81" s="95">
        <f t="shared" si="16"/>
        <v>19970</v>
      </c>
      <c r="AH81" s="95">
        <f t="shared" si="16"/>
        <v>23840</v>
      </c>
      <c r="AI81" s="95">
        <f t="shared" si="16"/>
        <v>23840</v>
      </c>
      <c r="AJ81" s="95">
        <f t="shared" si="16"/>
        <v>71346</v>
      </c>
      <c r="AK81" s="95">
        <f t="shared" si="16"/>
        <v>47636</v>
      </c>
      <c r="AL81" s="95">
        <f t="shared" si="16"/>
        <v>44415</v>
      </c>
      <c r="AM81" s="95">
        <f t="shared" si="16"/>
        <v>26759</v>
      </c>
      <c r="AN81" s="95">
        <f t="shared" si="16"/>
        <v>26759</v>
      </c>
      <c r="AO81" s="95">
        <f t="shared" si="16"/>
        <v>26759</v>
      </c>
      <c r="AP81" s="95">
        <f t="shared" si="16"/>
        <v>26759</v>
      </c>
      <c r="AQ81" s="95">
        <f t="shared" si="16"/>
        <v>28578</v>
      </c>
      <c r="AR81" s="95">
        <f t="shared" si="16"/>
        <v>40826</v>
      </c>
      <c r="AS81" s="95">
        <f t="shared" si="16"/>
        <v>16974</v>
      </c>
      <c r="AT81" s="95">
        <f t="shared" si="16"/>
        <v>16974</v>
      </c>
      <c r="AU81" s="95">
        <f t="shared" si="16"/>
        <v>14508</v>
      </c>
      <c r="AV81" s="95">
        <f t="shared" si="16"/>
        <v>3510</v>
      </c>
      <c r="AW81" s="95">
        <f t="shared" si="16"/>
        <v>3510</v>
      </c>
      <c r="AX81" s="95"/>
      <c r="AY81" s="95"/>
      <c r="AZ81" s="95"/>
      <c r="BA81" s="95"/>
      <c r="BB81" s="95"/>
      <c r="BC81" s="95"/>
      <c r="BD81" s="95"/>
      <c r="BE81" s="95"/>
      <c r="BF81" s="95"/>
      <c r="BG81" s="97"/>
      <c r="BH81" s="97"/>
      <c r="BI81" s="239"/>
    </row>
    <row r="82" s="4" customFormat="1" ht="17.1" customHeight="1" spans="1:62">
      <c r="A82" s="99"/>
      <c r="B82" s="100"/>
      <c r="C82" s="100"/>
      <c r="D82" s="100"/>
      <c r="E82" s="100"/>
      <c r="F82" s="100"/>
      <c r="G82" s="100"/>
      <c r="H82" s="100"/>
      <c r="I82" s="100"/>
      <c r="J82" s="133">
        <f>SUM(U82:AA82)</f>
        <v>384994</v>
      </c>
      <c r="K82" s="100"/>
      <c r="L82" s="284">
        <f>45896+52848+9920+9954+7008</f>
        <v>125626</v>
      </c>
      <c r="M82" s="284">
        <f>48236+69480+9920+12456+7008+1008</f>
        <v>148108</v>
      </c>
      <c r="N82" s="284">
        <f>9920+9920</f>
        <v>19840</v>
      </c>
      <c r="O82" s="284">
        <f>51436+2499+9008+1580+1112+2383</f>
        <v>68018</v>
      </c>
      <c r="P82" s="284">
        <f>6428</f>
        <v>6428</v>
      </c>
      <c r="Q82" s="284">
        <f>33322+9920+1000+8</f>
        <v>44250</v>
      </c>
      <c r="R82" s="284">
        <f>45142+48816+9920+7488+7008+1000+1124</f>
        <v>120498</v>
      </c>
      <c r="S82" s="284">
        <f>41512+35316+9920+8712</f>
        <v>95460</v>
      </c>
      <c r="T82" s="284">
        <f>47350+37188+9920+7488+7020</f>
        <v>108966</v>
      </c>
      <c r="U82" s="284">
        <f>22040+51048+9920+7488+3121+116</f>
        <v>93733</v>
      </c>
      <c r="V82" s="284">
        <f>22040+44028+9920+7488+3121+1124</f>
        <v>87721</v>
      </c>
      <c r="W82" s="284">
        <f>300</f>
        <v>300</v>
      </c>
      <c r="X82" s="284">
        <f>9920+300+9920</f>
        <v>20140</v>
      </c>
      <c r="Y82" s="284">
        <f>20598+46222+9920+9954+1414+1008</f>
        <v>89116</v>
      </c>
      <c r="Z82" s="284">
        <f>1318+296</f>
        <v>1614</v>
      </c>
      <c r="AA82" s="284">
        <f>11848+66886+11214+1414+1008</f>
        <v>92370</v>
      </c>
      <c r="AB82" s="284">
        <f>1977+144</f>
        <v>2121</v>
      </c>
      <c r="AC82" s="284">
        <f>1977+144</f>
        <v>2121</v>
      </c>
      <c r="AD82" s="284">
        <f>14448+2568+1970+2558+1300+996</f>
        <v>23840</v>
      </c>
      <c r="AE82" s="284">
        <f>14448+2568+1970+2558+1300+996</f>
        <v>23840</v>
      </c>
      <c r="AF82" s="284">
        <f>11670+2189+1831+2558+975+747</f>
        <v>19970</v>
      </c>
      <c r="AG82" s="284">
        <f>11670+2189+1831+2558+975+747</f>
        <v>19970</v>
      </c>
      <c r="AH82" s="284">
        <f>14448+2568+1970+2558+1300+996</f>
        <v>23840</v>
      </c>
      <c r="AI82" s="284">
        <f>14448+2568+1970+2558+1300+996</f>
        <v>23840</v>
      </c>
      <c r="AJ82" s="284">
        <f>27146+9667+25988+3109+2566+1625+1245</f>
        <v>71346</v>
      </c>
      <c r="AK82" s="284">
        <f>14448+25356+2970+2566+1300+996</f>
        <v>47636</v>
      </c>
      <c r="AL82" s="284">
        <f>17226+14287+2109+7562+1985+1245</f>
        <v>44414</v>
      </c>
      <c r="AM82" s="284">
        <f>12384+3753+3000+2370+1668+3581</f>
        <v>26756</v>
      </c>
      <c r="AN82" s="284">
        <f>12384+3753+3000+2370+1668+3581</f>
        <v>26756</v>
      </c>
      <c r="AO82" s="284">
        <f>12384+3753+3000+2370+1668+3581</f>
        <v>26756</v>
      </c>
      <c r="AP82" s="284">
        <f>12384+3753+3000+2370+1668+3581</f>
        <v>26756</v>
      </c>
      <c r="AQ82" s="284">
        <f>18968+2508+2012+1580+1112+2396</f>
        <v>28576</v>
      </c>
      <c r="AR82" s="284">
        <f>31250+2499+2000+1580+1112+2383</f>
        <v>40824</v>
      </c>
      <c r="AS82" s="284">
        <f>16667+307</f>
        <v>16974</v>
      </c>
      <c r="AT82" s="284">
        <f>16667+307</f>
        <v>16974</v>
      </c>
      <c r="AU82" s="284">
        <f>7020+7488</f>
        <v>14508</v>
      </c>
      <c r="AV82" s="284">
        <f>3510</f>
        <v>3510</v>
      </c>
      <c r="AW82" s="284">
        <f>3510</f>
        <v>3510</v>
      </c>
      <c r="AX82" s="100"/>
      <c r="AY82" s="100"/>
      <c r="AZ82" s="100"/>
      <c r="BA82" s="100"/>
      <c r="BB82" s="100"/>
      <c r="BC82" s="100"/>
      <c r="BD82" s="100"/>
      <c r="BE82" s="101"/>
      <c r="BF82" s="101"/>
      <c r="BG82" s="101"/>
      <c r="BH82" s="101"/>
      <c r="BI82" s="240"/>
    </row>
    <row r="83" s="4" customFormat="1" ht="17.1" customHeight="1" spans="1:62">
      <c r="A83" s="241" t="s">
        <v>67</v>
      </c>
      <c r="B83" s="242"/>
      <c r="C83" s="242"/>
      <c r="D83" s="242"/>
      <c r="E83" s="242"/>
      <c r="F83" s="242"/>
      <c r="G83" s="242"/>
      <c r="H83" s="242"/>
      <c r="I83" s="243"/>
      <c r="J83" s="244">
        <f>SUM(L83:AV83)</f>
        <v>-19</v>
      </c>
      <c r="K83" s="245"/>
      <c r="L83" s="106">
        <f t="shared" ref="L83:AW83" si="17">L82-L81</f>
        <v>0</v>
      </c>
      <c r="M83" s="106">
        <f t="shared" si="17"/>
        <v>0</v>
      </c>
      <c r="N83" s="106">
        <f t="shared" si="17"/>
        <v>0</v>
      </c>
      <c r="O83" s="106">
        <f t="shared" si="17"/>
        <v>-2</v>
      </c>
      <c r="P83" s="106">
        <f t="shared" si="17"/>
        <v>0</v>
      </c>
      <c r="Q83" s="106">
        <f t="shared" si="17"/>
        <v>0</v>
      </c>
      <c r="R83" s="106">
        <f t="shared" si="17"/>
        <v>0</v>
      </c>
      <c r="S83" s="106">
        <f t="shared" si="17"/>
        <v>0</v>
      </c>
      <c r="T83" s="106">
        <f t="shared" si="17"/>
        <v>0</v>
      </c>
      <c r="U83" s="106">
        <f t="shared" si="17"/>
        <v>0</v>
      </c>
      <c r="V83" s="106">
        <f t="shared" si="17"/>
        <v>0</v>
      </c>
      <c r="W83" s="106">
        <f t="shared" si="17"/>
        <v>0</v>
      </c>
      <c r="X83" s="106">
        <f t="shared" si="17"/>
        <v>0</v>
      </c>
      <c r="Y83" s="106">
        <f t="shared" si="17"/>
        <v>0</v>
      </c>
      <c r="Z83" s="106">
        <f t="shared" si="17"/>
        <v>0</v>
      </c>
      <c r="AA83" s="106">
        <f t="shared" si="17"/>
        <v>0</v>
      </c>
      <c r="AB83" s="106">
        <f t="shared" si="17"/>
        <v>0</v>
      </c>
      <c r="AC83" s="106">
        <f t="shared" si="17"/>
        <v>0</v>
      </c>
      <c r="AD83" s="106">
        <f t="shared" si="17"/>
        <v>0</v>
      </c>
      <c r="AE83" s="106">
        <f t="shared" si="17"/>
        <v>0</v>
      </c>
      <c r="AF83" s="106">
        <f t="shared" si="17"/>
        <v>0</v>
      </c>
      <c r="AG83" s="106">
        <f t="shared" si="17"/>
        <v>0</v>
      </c>
      <c r="AH83" s="106">
        <f t="shared" si="17"/>
        <v>0</v>
      </c>
      <c r="AI83" s="106">
        <f t="shared" si="17"/>
        <v>0</v>
      </c>
      <c r="AJ83" s="106">
        <f t="shared" si="17"/>
        <v>0</v>
      </c>
      <c r="AK83" s="106">
        <f t="shared" si="17"/>
        <v>0</v>
      </c>
      <c r="AL83" s="106">
        <f t="shared" si="17"/>
        <v>-1</v>
      </c>
      <c r="AM83" s="106">
        <f t="shared" si="17"/>
        <v>-3</v>
      </c>
      <c r="AN83" s="106">
        <f t="shared" si="17"/>
        <v>-3</v>
      </c>
      <c r="AO83" s="106">
        <f t="shared" si="17"/>
        <v>-3</v>
      </c>
      <c r="AP83" s="106">
        <f t="shared" si="17"/>
        <v>-3</v>
      </c>
      <c r="AQ83" s="106">
        <f t="shared" si="17"/>
        <v>-2</v>
      </c>
      <c r="AR83" s="106">
        <f t="shared" si="17"/>
        <v>-2</v>
      </c>
      <c r="AS83" s="106">
        <f t="shared" si="17"/>
        <v>0</v>
      </c>
      <c r="AT83" s="106">
        <f t="shared" si="17"/>
        <v>0</v>
      </c>
      <c r="AU83" s="106">
        <f t="shared" si="17"/>
        <v>0</v>
      </c>
      <c r="AV83" s="106">
        <f t="shared" si="17"/>
        <v>0</v>
      </c>
      <c r="AW83" s="106">
        <f t="shared" si="17"/>
        <v>0</v>
      </c>
      <c r="AX83" s="107"/>
      <c r="AY83" s="107"/>
      <c r="AZ83" s="107"/>
      <c r="BA83" s="107"/>
      <c r="BB83" s="107"/>
      <c r="BC83" s="107"/>
      <c r="BD83" s="107"/>
      <c r="BE83" s="108"/>
      <c r="BF83" s="108"/>
      <c r="BG83" s="108"/>
      <c r="BH83" s="108"/>
      <c r="BI83" s="246"/>
    </row>
    <row r="84" spans="1:62">
      <c r="B84" s="110" t="s">
        <v>68</v>
      </c>
      <c r="C84" s="110"/>
      <c r="D84" s="111"/>
      <c r="E84" s="111"/>
      <c r="F84" s="111"/>
      <c r="G84" s="111"/>
      <c r="H84" s="111"/>
      <c r="I84" s="111"/>
      <c r="J84" s="285"/>
    </row>
    <row r="86" s="764" customFormat="1" ht="36.95" customHeight="1" spans="1:62">
      <c r="H86" s="798" t="s">
        <v>2491</v>
      </c>
      <c r="I86" s="798"/>
      <c r="J86" s="798"/>
      <c r="M86" s="764">
        <v>4100</v>
      </c>
      <c r="R86" s="764">
        <v>5000</v>
      </c>
      <c r="S86" s="764">
        <v>5000</v>
      </c>
      <c r="T86" s="764">
        <v>2300</v>
      </c>
      <c r="U86" s="764">
        <v>1000</v>
      </c>
      <c r="V86" s="764">
        <v>10000</v>
      </c>
      <c r="Y86" s="764">
        <v>400</v>
      </c>
      <c r="AA86" s="764">
        <v>16000</v>
      </c>
      <c r="BE86" s="799"/>
      <c r="BF86" s="800"/>
      <c r="BG86" s="800"/>
      <c r="BH86" s="800"/>
      <c r="BI86" s="801"/>
      <c r="BJ86" s="802"/>
    </row>
    <row r="87" spans="1:62">
      <c r="B87" s="286"/>
      <c r="H87" s="803"/>
      <c r="I87" s="803"/>
      <c r="J87" s="803"/>
    </row>
    <row r="88" spans="1:62">
      <c r="B88" s="286"/>
    </row>
    <row r="89" spans="1:62">
      <c r="B89" s="286"/>
    </row>
    <row r="90" spans="1:62">
      <c r="B90" s="286"/>
      <c r="N90" s="804"/>
    </row>
    <row r="93" spans="1:62">
      <c r="B93" s="287" t="s">
        <v>2224</v>
      </c>
      <c r="C93" s="287"/>
    </row>
    <row r="94" spans="1:62">
      <c r="B94" s="287"/>
      <c r="C94" s="287"/>
    </row>
    <row r="95" spans="1:62">
      <c r="B95" s="287"/>
      <c r="C95" s="287"/>
    </row>
  </sheetData>
  <autoFilter xmlns:etc="http://www.wps.cn/officeDocument/2017/etCustomData" ref="A4:BJ87" etc:filterBottomFollowUsedRange="0">
    <filterColumn colId="59">
      <filters blank="1"/>
    </filterColumn>
    <extLst/>
  </autoFilter>
  <mergeCells count="34">
    <mergeCell ref="A1:BD1"/>
    <mergeCell ref="BH1:BI1"/>
    <mergeCell ref="L2:AW2"/>
    <mergeCell ref="L3:T3"/>
    <mergeCell ref="U3:AC3"/>
    <mergeCell ref="AD3:AL3"/>
    <mergeCell ref="AM3:AR3"/>
    <mergeCell ref="A81:I81"/>
    <mergeCell ref="A82:I82"/>
    <mergeCell ref="A83:I8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H86:J87"/>
  </mergeCells>
  <conditionalFormatting sqref="L83:AW83">
    <cfRule type="cellIs" dxfId="0" priority="1" operator="lessThan">
      <formula>0</formula>
    </cfRule>
  </conditionalFormatting>
  <printOptions horizontalCentered="1"/>
  <pageMargins left="0.118055555555556" right="0.118055555555556" top="0.15625" bottom="0.15625" header="0.313888888888889" footer="0.313888888888889"/>
  <pageSetup paperSize="9" scale="31" fitToHeight="3" orientation="landscape"/>
  <headerFooter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H21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Q20" sqref="Q20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4" width="11.625" customWidth="1"/>
    <col min="5" max="5" width="9.5" customWidth="1"/>
    <col min="6" max="9" width="5.875" customWidth="1"/>
    <col min="10" max="10" width="7.125" customWidth="1"/>
    <col min="11" max="11" width="5.125" customWidth="1"/>
    <col min="12" max="18" width="6.375" customWidth="1"/>
    <col min="19" max="19" width="9.375" customWidth="1"/>
    <col min="20" max="20" width="5.125" customWidth="1"/>
    <col min="21" max="22" width="6.625" customWidth="1"/>
    <col min="23" max="23" width="5.625" customWidth="1"/>
    <col min="24" max="24" width="5.125" customWidth="1"/>
    <col min="25" max="25" width="8.875" customWidth="1"/>
    <col min="26" max="26" width="19.625" customWidth="1"/>
    <col min="27" max="27" width="8.625" style="114" customWidth="1"/>
    <col min="28" max="28" width="9.625" style="113" customWidth="1"/>
    <col min="29" max="29" width="7.125" style="113" customWidth="1"/>
    <col min="30" max="30" width="8.125" style="113" customWidth="1"/>
    <col min="31" max="31" width="16.125" style="194" customWidth="1"/>
    <col min="32" max="32" width="17.125" style="255" customWidth="1"/>
    <col min="33" max="33" width="6.375" customWidth="1"/>
  </cols>
  <sheetData>
    <row r="1" ht="35.1" customHeight="1" spans="1:34">
      <c r="A1" s="298" t="s">
        <v>2492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59" t="s">
        <v>1</v>
      </c>
      <c r="AB1" s="312"/>
      <c r="AC1" s="260"/>
      <c r="AD1" s="200">
        <f ca="1">TODAY()</f>
        <v>46277</v>
      </c>
      <c r="AE1" s="201"/>
    </row>
    <row r="2" s="190" customFormat="1" ht="21.95" customHeight="1" spans="1:34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7" t="s">
        <v>13</v>
      </c>
      <c r="M2" s="188"/>
      <c r="N2" s="188"/>
      <c r="O2" s="188"/>
      <c r="P2" s="188"/>
      <c r="Q2" s="188"/>
      <c r="R2" s="189"/>
      <c r="S2" s="20" t="s">
        <v>14</v>
      </c>
      <c r="T2" s="22" t="s">
        <v>15</v>
      </c>
      <c r="U2" s="22" t="s">
        <v>16</v>
      </c>
      <c r="V2" s="22" t="s">
        <v>178</v>
      </c>
      <c r="W2" s="22" t="s">
        <v>18</v>
      </c>
      <c r="X2" s="22" t="s">
        <v>19</v>
      </c>
      <c r="Y2" s="22" t="s">
        <v>20</v>
      </c>
      <c r="Z2" s="261" t="s">
        <v>21</v>
      </c>
      <c r="AA2" s="25" t="s">
        <v>22</v>
      </c>
      <c r="AB2" s="26" t="s">
        <v>23</v>
      </c>
      <c r="AC2" s="26" t="s">
        <v>24</v>
      </c>
      <c r="AD2" s="26" t="s">
        <v>25</v>
      </c>
      <c r="AE2" s="205" t="s">
        <v>26</v>
      </c>
      <c r="AF2" s="159"/>
    </row>
    <row r="3" s="190" customFormat="1" ht="41.25" customHeight="1" spans="1:34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313" t="s">
        <v>1594</v>
      </c>
      <c r="M3" s="313" t="s">
        <v>1831</v>
      </c>
      <c r="N3" s="313" t="s">
        <v>1844</v>
      </c>
      <c r="O3" s="313" t="s">
        <v>1845</v>
      </c>
      <c r="P3" s="313" t="s">
        <v>1595</v>
      </c>
      <c r="Q3" s="314" t="s">
        <v>1852</v>
      </c>
      <c r="R3" s="313" t="s">
        <v>2001</v>
      </c>
      <c r="S3" s="31"/>
      <c r="T3" s="32"/>
      <c r="U3" s="32"/>
      <c r="V3" s="32"/>
      <c r="W3" s="32"/>
      <c r="X3" s="32"/>
      <c r="Y3" s="32"/>
      <c r="Z3" s="267"/>
      <c r="AA3" s="25"/>
      <c r="AB3" s="26"/>
      <c r="AC3" s="26"/>
      <c r="AD3" s="26"/>
      <c r="AE3" s="205"/>
      <c r="AF3" s="159" t="s">
        <v>65</v>
      </c>
      <c r="AG3" s="206"/>
      <c r="AH3" s="206" t="s">
        <v>2002</v>
      </c>
    </row>
    <row r="4" s="311" customFormat="1" ht="37.5" hidden="1" customHeight="1" spans="1:34">
      <c r="A4" s="208">
        <f>ROW()-3</f>
        <v>1</v>
      </c>
      <c r="B4" s="48" t="s">
        <v>394</v>
      </c>
      <c r="C4" s="49" t="s">
        <v>342</v>
      </c>
      <c r="D4" s="50" t="s">
        <v>2493</v>
      </c>
      <c r="E4" s="50" t="s">
        <v>2494</v>
      </c>
      <c r="F4" s="52">
        <v>46063</v>
      </c>
      <c r="G4" s="52">
        <v>46142</v>
      </c>
      <c r="H4" s="52">
        <v>46142</v>
      </c>
      <c r="I4" s="53">
        <v>46121</v>
      </c>
      <c r="J4" s="327">
        <f t="shared" ref="J4:J9" si="0">SUM(L4:R4)</f>
        <v>6300</v>
      </c>
      <c r="K4" s="175">
        <v>84</v>
      </c>
      <c r="L4" s="703">
        <v>900</v>
      </c>
      <c r="M4" s="703">
        <v>900</v>
      </c>
      <c r="N4" s="703">
        <v>900</v>
      </c>
      <c r="O4" s="703">
        <v>900</v>
      </c>
      <c r="P4" s="703">
        <v>900</v>
      </c>
      <c r="Q4" s="703">
        <v>900</v>
      </c>
      <c r="R4" s="703">
        <v>900</v>
      </c>
      <c r="S4" s="739" t="s">
        <v>2495</v>
      </c>
      <c r="T4" s="49" t="s">
        <v>81</v>
      </c>
      <c r="U4" s="305" t="s">
        <v>2496</v>
      </c>
      <c r="V4" s="305" t="s">
        <v>1137</v>
      </c>
      <c r="W4" s="48" t="s">
        <v>1731</v>
      </c>
      <c r="X4" s="48" t="s">
        <v>2497</v>
      </c>
      <c r="Y4" s="316" t="s">
        <v>2495</v>
      </c>
      <c r="Z4" s="48" t="s">
        <v>2498</v>
      </c>
      <c r="AA4" s="176">
        <v>46142</v>
      </c>
      <c r="AB4" s="211" t="s">
        <v>2499</v>
      </c>
      <c r="AC4" s="317"/>
      <c r="AD4" s="211">
        <v>46160</v>
      </c>
      <c r="AE4" s="213" t="s">
        <v>2500</v>
      </c>
      <c r="AF4" s="159" t="s">
        <v>2501</v>
      </c>
    </row>
    <row r="5" s="311" customFormat="1" ht="37.5" hidden="1" customHeight="1" spans="1:34">
      <c r="A5" s="208">
        <f t="shared" ref="A5:A11" si="1">ROW()-3</f>
        <v>2</v>
      </c>
      <c r="B5" s="48" t="s">
        <v>394</v>
      </c>
      <c r="C5" s="49" t="s">
        <v>342</v>
      </c>
      <c r="D5" s="50" t="s">
        <v>2502</v>
      </c>
      <c r="E5" s="50" t="s">
        <v>2503</v>
      </c>
      <c r="F5" s="52">
        <v>46112</v>
      </c>
      <c r="G5" s="52">
        <v>46179</v>
      </c>
      <c r="H5" s="52">
        <v>46179</v>
      </c>
      <c r="I5" s="53">
        <v>46133</v>
      </c>
      <c r="J5" s="327">
        <f t="shared" si="0"/>
        <v>3612</v>
      </c>
      <c r="K5" s="175">
        <v>84</v>
      </c>
      <c r="L5" s="703">
        <v>516</v>
      </c>
      <c r="M5" s="703">
        <v>516</v>
      </c>
      <c r="N5" s="703">
        <v>516</v>
      </c>
      <c r="O5" s="703">
        <v>516</v>
      </c>
      <c r="P5" s="703">
        <v>516</v>
      </c>
      <c r="Q5" s="703">
        <v>516</v>
      </c>
      <c r="R5" s="703">
        <v>516</v>
      </c>
      <c r="S5" s="316" t="s">
        <v>2147</v>
      </c>
      <c r="T5" s="49" t="s">
        <v>81</v>
      </c>
      <c r="U5" s="305" t="s">
        <v>514</v>
      </c>
      <c r="V5" s="305" t="s">
        <v>2504</v>
      </c>
      <c r="W5" s="48" t="s">
        <v>1744</v>
      </c>
      <c r="X5" s="48" t="s">
        <v>514</v>
      </c>
      <c r="Y5" s="316" t="s">
        <v>2147</v>
      </c>
      <c r="Z5" s="48" t="s">
        <v>2498</v>
      </c>
      <c r="AA5" s="176">
        <v>46179</v>
      </c>
      <c r="AB5" s="211">
        <v>46182</v>
      </c>
      <c r="AC5" s="317"/>
      <c r="AD5" s="211">
        <v>46188</v>
      </c>
      <c r="AE5" s="213" t="s">
        <v>2505</v>
      </c>
      <c r="AF5" s="159" t="s">
        <v>2501</v>
      </c>
    </row>
    <row r="6" s="311" customFormat="1" ht="37.5" hidden="1" customHeight="1" spans="1:34">
      <c r="A6" s="208">
        <f t="shared" si="1"/>
        <v>3</v>
      </c>
      <c r="B6" s="48" t="s">
        <v>383</v>
      </c>
      <c r="C6" s="49" t="s">
        <v>114</v>
      </c>
      <c r="D6" s="50" t="s">
        <v>753</v>
      </c>
      <c r="E6" s="51" t="s">
        <v>513</v>
      </c>
      <c r="F6" s="52">
        <v>46107</v>
      </c>
      <c r="G6" s="52">
        <v>46191</v>
      </c>
      <c r="H6" s="52">
        <v>46191</v>
      </c>
      <c r="I6" s="53">
        <v>46135</v>
      </c>
      <c r="J6" s="327">
        <f t="shared" si="0"/>
        <v>840</v>
      </c>
      <c r="K6" s="175">
        <v>84</v>
      </c>
      <c r="L6" s="703">
        <v>120</v>
      </c>
      <c r="M6" s="703">
        <v>120</v>
      </c>
      <c r="N6" s="703">
        <v>120</v>
      </c>
      <c r="O6" s="703">
        <v>120</v>
      </c>
      <c r="P6" s="703">
        <v>120</v>
      </c>
      <c r="Q6" s="703">
        <v>120</v>
      </c>
      <c r="R6" s="703">
        <v>120</v>
      </c>
      <c r="S6" s="316" t="s">
        <v>2147</v>
      </c>
      <c r="T6" s="49" t="s">
        <v>81</v>
      </c>
      <c r="U6" s="305" t="s">
        <v>1393</v>
      </c>
      <c r="V6" s="305" t="s">
        <v>2506</v>
      </c>
      <c r="W6" s="48" t="s">
        <v>1744</v>
      </c>
      <c r="X6" s="48" t="s">
        <v>514</v>
      </c>
      <c r="Y6" s="316" t="s">
        <v>2147</v>
      </c>
      <c r="Z6" s="48" t="s">
        <v>2507</v>
      </c>
      <c r="AA6" s="176">
        <v>46191</v>
      </c>
      <c r="AB6" s="211">
        <v>46190</v>
      </c>
      <c r="AC6" s="317"/>
      <c r="AD6" s="211">
        <v>46239</v>
      </c>
      <c r="AE6" s="213" t="s">
        <v>2508</v>
      </c>
      <c r="AF6" s="159" t="s">
        <v>2501</v>
      </c>
    </row>
    <row r="7" s="311" customFormat="1" ht="37.5" hidden="1" customHeight="1" spans="1:34">
      <c r="A7" s="208">
        <f t="shared" si="1"/>
        <v>4</v>
      </c>
      <c r="B7" s="48" t="s">
        <v>383</v>
      </c>
      <c r="C7" s="49" t="s">
        <v>114</v>
      </c>
      <c r="D7" s="50" t="s">
        <v>559</v>
      </c>
      <c r="E7" s="50" t="s">
        <v>560</v>
      </c>
      <c r="F7" s="52">
        <v>46107</v>
      </c>
      <c r="G7" s="52">
        <v>46219</v>
      </c>
      <c r="H7" s="52">
        <v>46219</v>
      </c>
      <c r="I7" s="53">
        <v>46169</v>
      </c>
      <c r="J7" s="327">
        <f t="shared" si="0"/>
        <v>840</v>
      </c>
      <c r="K7" s="175">
        <v>84</v>
      </c>
      <c r="L7" s="703">
        <v>120</v>
      </c>
      <c r="M7" s="703">
        <v>120</v>
      </c>
      <c r="N7" s="703">
        <v>120</v>
      </c>
      <c r="O7" s="703">
        <v>120</v>
      </c>
      <c r="P7" s="703">
        <v>120</v>
      </c>
      <c r="Q7" s="703">
        <v>120</v>
      </c>
      <c r="R7" s="703">
        <v>120</v>
      </c>
      <c r="S7" s="624" t="s">
        <v>1874</v>
      </c>
      <c r="T7" s="49" t="s">
        <v>81</v>
      </c>
      <c r="U7" s="49" t="s">
        <v>168</v>
      </c>
      <c r="V7" s="305" t="s">
        <v>2506</v>
      </c>
      <c r="W7" s="49" t="s">
        <v>1876</v>
      </c>
      <c r="X7" s="48" t="s">
        <v>561</v>
      </c>
      <c r="Y7" s="624" t="s">
        <v>1874</v>
      </c>
      <c r="Z7" s="48" t="s">
        <v>2509</v>
      </c>
      <c r="AA7" s="176">
        <v>46219</v>
      </c>
      <c r="AB7" s="211">
        <v>46225</v>
      </c>
      <c r="AC7" s="317"/>
      <c r="AD7" s="211">
        <v>46247</v>
      </c>
      <c r="AE7" s="213" t="s">
        <v>2510</v>
      </c>
      <c r="AF7" s="159" t="s">
        <v>2501</v>
      </c>
    </row>
    <row r="8" s="311" customFormat="1" ht="37.5" hidden="1" customHeight="1" spans="1:34">
      <c r="A8" s="208">
        <f t="shared" si="1"/>
        <v>5</v>
      </c>
      <c r="B8" s="48" t="s">
        <v>2511</v>
      </c>
      <c r="C8" s="49" t="s">
        <v>342</v>
      </c>
      <c r="D8" s="50" t="s">
        <v>2512</v>
      </c>
      <c r="E8" s="50" t="s">
        <v>2513</v>
      </c>
      <c r="F8" s="52">
        <v>46112</v>
      </c>
      <c r="G8" s="52">
        <v>46235</v>
      </c>
      <c r="H8" s="52">
        <v>46235</v>
      </c>
      <c r="I8" s="53">
        <v>46156</v>
      </c>
      <c r="J8" s="327">
        <f t="shared" si="0"/>
        <v>9744</v>
      </c>
      <c r="K8" s="175">
        <v>84</v>
      </c>
      <c r="L8" s="703">
        <v>1392</v>
      </c>
      <c r="M8" s="703">
        <v>1392</v>
      </c>
      <c r="N8" s="703">
        <v>1392</v>
      </c>
      <c r="O8" s="703">
        <v>1392</v>
      </c>
      <c r="P8" s="703">
        <v>1392</v>
      </c>
      <c r="Q8" s="703">
        <v>1392</v>
      </c>
      <c r="R8" s="703">
        <v>1392</v>
      </c>
      <c r="S8" s="624" t="s">
        <v>1874</v>
      </c>
      <c r="T8" s="49" t="s">
        <v>81</v>
      </c>
      <c r="U8" s="49" t="s">
        <v>2514</v>
      </c>
      <c r="V8" s="49" t="s">
        <v>2515</v>
      </c>
      <c r="W8" s="49" t="s">
        <v>1602</v>
      </c>
      <c r="X8" s="48" t="s">
        <v>1227</v>
      </c>
      <c r="Y8" s="624" t="s">
        <v>1874</v>
      </c>
      <c r="Z8" s="48" t="s">
        <v>2498</v>
      </c>
      <c r="AA8" s="176">
        <v>46235</v>
      </c>
      <c r="AB8" s="211">
        <v>46239</v>
      </c>
      <c r="AC8" s="317"/>
      <c r="AD8" s="211">
        <v>46275</v>
      </c>
      <c r="AE8" s="213" t="s">
        <v>2505</v>
      </c>
      <c r="AF8" s="159" t="s">
        <v>2501</v>
      </c>
    </row>
    <row r="9" s="311" customFormat="1" ht="37.5" customHeight="1" spans="1:34">
      <c r="A9" s="208">
        <f t="shared" si="1"/>
        <v>6</v>
      </c>
      <c r="B9" s="48" t="s">
        <v>2511</v>
      </c>
      <c r="C9" s="49" t="s">
        <v>342</v>
      </c>
      <c r="D9" s="50" t="s">
        <v>2516</v>
      </c>
      <c r="E9" s="50" t="s">
        <v>2517</v>
      </c>
      <c r="F9" s="52">
        <v>46112</v>
      </c>
      <c r="G9" s="52">
        <v>46269</v>
      </c>
      <c r="H9" s="52">
        <v>46269</v>
      </c>
      <c r="I9" s="53">
        <v>46209</v>
      </c>
      <c r="J9" s="327">
        <f t="shared" si="0"/>
        <v>4788</v>
      </c>
      <c r="K9" s="175">
        <v>84</v>
      </c>
      <c r="L9" s="703">
        <v>684</v>
      </c>
      <c r="M9" s="703">
        <v>684</v>
      </c>
      <c r="N9" s="703">
        <v>684</v>
      </c>
      <c r="O9" s="703">
        <v>684</v>
      </c>
      <c r="P9" s="703">
        <v>684</v>
      </c>
      <c r="Q9" s="703">
        <v>684</v>
      </c>
      <c r="R9" s="703">
        <v>684</v>
      </c>
      <c r="S9" s="624" t="s">
        <v>1895</v>
      </c>
      <c r="T9" s="49" t="s">
        <v>81</v>
      </c>
      <c r="U9" s="49" t="s">
        <v>1208</v>
      </c>
      <c r="V9" s="49" t="s">
        <v>2518</v>
      </c>
      <c r="W9" s="49" t="s">
        <v>1903</v>
      </c>
      <c r="X9" s="48" t="s">
        <v>629</v>
      </c>
      <c r="Y9" s="624" t="s">
        <v>1895</v>
      </c>
      <c r="Z9" s="48" t="s">
        <v>2498</v>
      </c>
      <c r="AA9" s="176">
        <v>46269</v>
      </c>
      <c r="AB9" s="211">
        <v>46267</v>
      </c>
      <c r="AC9" s="308"/>
      <c r="AD9" s="211"/>
      <c r="AE9" s="213" t="s">
        <v>2505</v>
      </c>
      <c r="AF9" s="159" t="s">
        <v>2501</v>
      </c>
    </row>
    <row r="10" s="311" customFormat="1" ht="37.5" customHeight="1" spans="1:34">
      <c r="A10" s="215">
        <f t="shared" si="1"/>
        <v>7</v>
      </c>
      <c r="B10" s="183"/>
      <c r="C10" s="96"/>
      <c r="D10" s="216"/>
      <c r="E10" s="216"/>
      <c r="F10" s="217"/>
      <c r="G10" s="217"/>
      <c r="H10" s="217"/>
      <c r="I10" s="218"/>
      <c r="J10" s="294"/>
      <c r="K10" s="95"/>
      <c r="L10" s="283"/>
      <c r="M10" s="283"/>
      <c r="N10" s="283"/>
      <c r="O10" s="283"/>
      <c r="P10" s="283"/>
      <c r="Q10" s="283"/>
      <c r="R10" s="283"/>
      <c r="S10" s="278"/>
      <c r="T10" s="96"/>
      <c r="U10" s="297"/>
      <c r="V10" s="297"/>
      <c r="W10" s="183"/>
      <c r="X10" s="183"/>
      <c r="Y10" s="320"/>
      <c r="Z10" s="183"/>
      <c r="AA10" s="280"/>
      <c r="AB10" s="279"/>
      <c r="AC10" s="321"/>
      <c r="AD10" s="279"/>
      <c r="AE10" s="224"/>
      <c r="AF10" s="159"/>
    </row>
    <row r="11" s="3" customFormat="1" ht="39" customHeight="1" spans="1:34">
      <c r="A11" s="215">
        <f t="shared" si="1"/>
        <v>8</v>
      </c>
      <c r="B11" s="183"/>
      <c r="C11" s="96"/>
      <c r="D11" s="216"/>
      <c r="E11" s="216"/>
      <c r="F11" s="217"/>
      <c r="G11" s="217"/>
      <c r="H11" s="217"/>
      <c r="I11" s="218"/>
      <c r="J11" s="95"/>
      <c r="K11" s="95"/>
      <c r="L11" s="283"/>
      <c r="M11" s="283"/>
      <c r="N11" s="283"/>
      <c r="O11" s="283"/>
      <c r="P11" s="283"/>
      <c r="Q11" s="283"/>
      <c r="R11" s="283"/>
      <c r="S11" s="278"/>
      <c r="T11" s="96"/>
      <c r="U11" s="279"/>
      <c r="V11" s="279"/>
      <c r="W11" s="279"/>
      <c r="X11" s="183"/>
      <c r="Y11" s="183"/>
      <c r="Z11" s="183"/>
      <c r="AA11" s="280"/>
      <c r="AB11" s="222"/>
      <c r="AC11" s="97"/>
      <c r="AD11" s="97"/>
      <c r="AE11" s="224"/>
    </row>
    <row r="12" s="3" customFormat="1" ht="17.1" customHeight="1" spans="1:34">
      <c r="A12" s="93" t="s">
        <v>66</v>
      </c>
      <c r="B12" s="94"/>
      <c r="C12" s="94"/>
      <c r="D12" s="94"/>
      <c r="E12" s="94"/>
      <c r="F12" s="94"/>
      <c r="G12" s="94"/>
      <c r="H12" s="94"/>
      <c r="I12" s="94"/>
      <c r="J12" s="95">
        <f>SUM(J4:J11)</f>
        <v>26124</v>
      </c>
      <c r="K12" s="95"/>
      <c r="L12" s="95">
        <f t="shared" ref="L12:R12" si="2">SUM(L4:L11)</f>
        <v>3732</v>
      </c>
      <c r="M12" s="95">
        <f t="shared" si="2"/>
        <v>3732</v>
      </c>
      <c r="N12" s="95">
        <f t="shared" si="2"/>
        <v>3732</v>
      </c>
      <c r="O12" s="95">
        <f t="shared" si="2"/>
        <v>3732</v>
      </c>
      <c r="P12" s="95">
        <f t="shared" si="2"/>
        <v>3732</v>
      </c>
      <c r="Q12" s="95">
        <f t="shared" si="2"/>
        <v>3732</v>
      </c>
      <c r="R12" s="95">
        <f t="shared" si="2"/>
        <v>3732</v>
      </c>
      <c r="S12" s="96"/>
      <c r="T12" s="96"/>
      <c r="U12" s="96"/>
      <c r="V12" s="96"/>
      <c r="W12" s="96"/>
      <c r="X12" s="96"/>
      <c r="Y12" s="96"/>
      <c r="Z12" s="96"/>
      <c r="AA12" s="97"/>
      <c r="AB12" s="97"/>
      <c r="AC12" s="97"/>
      <c r="AD12" s="97"/>
      <c r="AE12" s="239"/>
    </row>
    <row r="13" s="4" customFormat="1" ht="17.1" customHeight="1" spans="1:34">
      <c r="A13" s="99"/>
      <c r="B13" s="100"/>
      <c r="C13" s="100"/>
      <c r="D13" s="100"/>
      <c r="E13" s="100"/>
      <c r="F13" s="100"/>
      <c r="G13" s="100"/>
      <c r="H13" s="100"/>
      <c r="I13" s="100"/>
      <c r="J13" s="133">
        <f>SUM(L13:R13)</f>
        <v>26124</v>
      </c>
      <c r="K13" s="100"/>
      <c r="L13" s="100">
        <f>900+756+2076</f>
        <v>3732</v>
      </c>
      <c r="M13" s="100">
        <f t="shared" ref="M13:R13" si="3">900+756+2076</f>
        <v>3732</v>
      </c>
      <c r="N13" s="100">
        <f t="shared" si="3"/>
        <v>3732</v>
      </c>
      <c r="O13" s="100">
        <f t="shared" si="3"/>
        <v>3732</v>
      </c>
      <c r="P13" s="100">
        <f t="shared" si="3"/>
        <v>3732</v>
      </c>
      <c r="Q13" s="100">
        <f t="shared" si="3"/>
        <v>3732</v>
      </c>
      <c r="R13" s="100">
        <f t="shared" si="3"/>
        <v>3732</v>
      </c>
      <c r="S13" s="100"/>
      <c r="T13" s="100"/>
      <c r="U13" s="100"/>
      <c r="V13" s="100"/>
      <c r="W13" s="100"/>
      <c r="X13" s="100"/>
      <c r="Y13" s="100"/>
      <c r="Z13" s="100"/>
      <c r="AA13" s="101"/>
      <c r="AB13" s="101"/>
      <c r="AC13" s="101"/>
      <c r="AD13" s="101"/>
      <c r="AE13" s="240"/>
    </row>
    <row r="14" s="4" customFormat="1" ht="17.1" customHeight="1" spans="1:34">
      <c r="A14" s="241" t="s">
        <v>67</v>
      </c>
      <c r="B14" s="242"/>
      <c r="C14" s="242"/>
      <c r="D14" s="242"/>
      <c r="E14" s="242"/>
      <c r="F14" s="242"/>
      <c r="G14" s="242"/>
      <c r="H14" s="242"/>
      <c r="I14" s="243"/>
      <c r="J14" s="244">
        <f>SUM(L14:R14)</f>
        <v>0</v>
      </c>
      <c r="K14" s="245"/>
      <c r="L14" s="106">
        <f t="shared" ref="L14:R14" si="4">L13-L12</f>
        <v>0</v>
      </c>
      <c r="M14" s="106">
        <f t="shared" si="4"/>
        <v>0</v>
      </c>
      <c r="N14" s="106">
        <f t="shared" si="4"/>
        <v>0</v>
      </c>
      <c r="O14" s="106">
        <f t="shared" si="4"/>
        <v>0</v>
      </c>
      <c r="P14" s="106">
        <f t="shared" si="4"/>
        <v>0</v>
      </c>
      <c r="Q14" s="106">
        <f t="shared" si="4"/>
        <v>0</v>
      </c>
      <c r="R14" s="106">
        <f t="shared" si="4"/>
        <v>0</v>
      </c>
      <c r="S14" s="107"/>
      <c r="T14" s="107"/>
      <c r="U14" s="107"/>
      <c r="V14" s="107"/>
      <c r="W14" s="107"/>
      <c r="X14" s="107"/>
      <c r="Y14" s="107"/>
      <c r="Z14" s="107"/>
      <c r="AA14" s="108"/>
      <c r="AB14" s="108"/>
      <c r="AC14" s="108"/>
      <c r="AD14" s="108"/>
      <c r="AE14" s="246"/>
    </row>
    <row r="15" spans="1:34">
      <c r="B15" s="110" t="s">
        <v>68</v>
      </c>
      <c r="C15" s="110"/>
      <c r="D15" s="111"/>
      <c r="E15" s="111"/>
      <c r="F15" s="111"/>
      <c r="G15" s="111"/>
      <c r="H15" s="111" t="s">
        <v>377</v>
      </c>
      <c r="I15" s="111"/>
      <c r="J15" s="285"/>
    </row>
    <row r="18" spans="2:2">
      <c r="B18" s="286"/>
    </row>
    <row r="19" spans="2:2">
      <c r="B19" s="286"/>
    </row>
    <row r="20" spans="2:2">
      <c r="B20" s="286"/>
    </row>
    <row r="21" spans="2:2">
      <c r="B21" s="286"/>
    </row>
  </sheetData>
  <autoFilter xmlns:etc="http://www.wps.cn/officeDocument/2017/etCustomData" ref="A3:AH15" etc:filterBottomFollowUsedRange="0">
    <filterColumn colId="29">
      <filters blank="1"/>
    </filterColumn>
    <extLst/>
  </autoFilter>
  <mergeCells count="31">
    <mergeCell ref="A1:Z1"/>
    <mergeCell ref="AA1:AC1"/>
    <mergeCell ref="AD1:AE1"/>
    <mergeCell ref="L2:R2"/>
    <mergeCell ref="A12:I12"/>
    <mergeCell ref="A13:I13"/>
    <mergeCell ref="A14:I1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</mergeCells>
  <conditionalFormatting sqref="L14:R14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56" fitToHeight="2" orientation="landscape" horizontalDpi="1200" verticalDpi="1200"/>
  <headerFooter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E19"/>
  <sheetViews>
    <sheetView workbookViewId="0">
      <pane xSplit="11" ySplit="3" topLeftCell="O4" activePane="bottomRight" state="frozen"/>
      <selection/>
      <selection pane="topRight"/>
      <selection pane="bottomLeft"/>
      <selection pane="bottomRight" activeCell="I26" sqref="I26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2.125" customWidth="1"/>
    <col min="6" max="9" width="5.625" customWidth="1"/>
    <col min="10" max="10" width="9.625" style="447" customWidth="1"/>
    <col min="11" max="11" width="5.125" customWidth="1"/>
    <col min="12" max="14" width="7" customWidth="1"/>
    <col min="15" max="15" width="8.625" customWidth="1"/>
    <col min="16" max="16" width="7" customWidth="1"/>
    <col min="17" max="17" width="7.875" customWidth="1"/>
    <col min="18" max="18" width="5.375" customWidth="1"/>
    <col min="19" max="20" width="6" customWidth="1"/>
    <col min="21" max="21" width="5.875" customWidth="1"/>
    <col min="22" max="22" width="6" customWidth="1"/>
    <col min="23" max="23" width="10.875" customWidth="1"/>
    <col min="24" max="24" width="19.875" customWidth="1"/>
    <col min="25" max="25" width="8.375" customWidth="1"/>
    <col min="26" max="26" width="8.5" style="193" customWidth="1"/>
    <col min="27" max="27" width="6.375" style="193" customWidth="1"/>
    <col min="28" max="28" width="7.625" style="193" customWidth="1"/>
    <col min="29" max="29" width="19.125" customWidth="1"/>
    <col min="30" max="30" width="19" customWidth="1"/>
  </cols>
  <sheetData>
    <row r="1" ht="36.75" customHeight="1" spans="1:31">
      <c r="A1" s="256" t="s">
        <v>2519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8"/>
      <c r="Y1" s="197" t="s">
        <v>1</v>
      </c>
      <c r="Z1" s="198"/>
      <c r="AA1" s="199"/>
      <c r="AB1" s="747">
        <f ca="1">TODAY()</f>
        <v>46277</v>
      </c>
      <c r="AC1" s="748"/>
    </row>
    <row r="2" s="190" customFormat="1" ht="21.95" customHeight="1" spans="1:31">
      <c r="A2" s="749" t="s">
        <v>2</v>
      </c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16" t="s">
        <v>10</v>
      </c>
      <c r="J2" s="750" t="s">
        <v>11</v>
      </c>
      <c r="K2" s="16" t="s">
        <v>12</v>
      </c>
      <c r="L2" s="187" t="s">
        <v>13</v>
      </c>
      <c r="M2" s="188"/>
      <c r="N2" s="188"/>
      <c r="O2" s="188"/>
      <c r="P2" s="189"/>
      <c r="Q2" s="20" t="s">
        <v>14</v>
      </c>
      <c r="R2" s="22" t="s">
        <v>15</v>
      </c>
      <c r="S2" s="22" t="s">
        <v>16</v>
      </c>
      <c r="T2" s="22" t="s">
        <v>178</v>
      </c>
      <c r="U2" s="22" t="s">
        <v>18</v>
      </c>
      <c r="V2" s="22" t="s">
        <v>19</v>
      </c>
      <c r="W2" s="22" t="s">
        <v>20</v>
      </c>
      <c r="X2" s="261" t="s">
        <v>21</v>
      </c>
      <c r="Y2" s="20" t="s">
        <v>22</v>
      </c>
      <c r="Z2" s="751" t="s">
        <v>23</v>
      </c>
      <c r="AA2" s="751" t="s">
        <v>24</v>
      </c>
      <c r="AB2" s="751" t="s">
        <v>25</v>
      </c>
      <c r="AC2" s="752" t="s">
        <v>26</v>
      </c>
    </row>
    <row r="3" s="190" customFormat="1" ht="30" customHeight="1" spans="1:31">
      <c r="A3" s="380"/>
      <c r="B3" s="29"/>
      <c r="C3" s="29"/>
      <c r="D3" s="29"/>
      <c r="E3" s="29"/>
      <c r="F3" s="29"/>
      <c r="G3" s="29"/>
      <c r="H3" s="29"/>
      <c r="I3" s="29"/>
      <c r="J3" s="382"/>
      <c r="K3" s="29"/>
      <c r="L3" s="264" t="s">
        <v>32</v>
      </c>
      <c r="M3" s="264" t="s">
        <v>36</v>
      </c>
      <c r="N3" s="264" t="s">
        <v>1854</v>
      </c>
      <c r="O3" s="264" t="s">
        <v>35</v>
      </c>
      <c r="P3" s="264" t="s">
        <v>31</v>
      </c>
      <c r="Q3" s="31"/>
      <c r="R3" s="32"/>
      <c r="S3" s="32"/>
      <c r="T3" s="32"/>
      <c r="U3" s="32"/>
      <c r="V3" s="32"/>
      <c r="W3" s="32"/>
      <c r="X3" s="267"/>
      <c r="Y3" s="31"/>
      <c r="Z3" s="753"/>
      <c r="AA3" s="753"/>
      <c r="AB3" s="753"/>
      <c r="AC3" s="389"/>
      <c r="AD3" s="190" t="s">
        <v>65</v>
      </c>
    </row>
    <row r="4" s="3" customFormat="1" ht="37.35" hidden="1" customHeight="1" spans="1:31">
      <c r="A4" s="208">
        <f t="shared" ref="A4:A15" si="0">ROW()-3</f>
        <v>1</v>
      </c>
      <c r="B4" s="48" t="s">
        <v>394</v>
      </c>
      <c r="C4" s="49" t="s">
        <v>342</v>
      </c>
      <c r="D4" s="50" t="s">
        <v>2493</v>
      </c>
      <c r="E4" s="50" t="s">
        <v>2494</v>
      </c>
      <c r="F4" s="52">
        <v>46063</v>
      </c>
      <c r="G4" s="52">
        <v>46142</v>
      </c>
      <c r="H4" s="52">
        <v>46142</v>
      </c>
      <c r="I4" s="53">
        <v>46121</v>
      </c>
      <c r="J4" s="477">
        <f>SUBTOTAL(9,L4:P4)</f>
        <v>0</v>
      </c>
      <c r="K4" s="175">
        <v>60</v>
      </c>
      <c r="L4" s="175">
        <v>2700</v>
      </c>
      <c r="M4" s="175">
        <v>2700</v>
      </c>
      <c r="N4" s="175">
        <v>2700</v>
      </c>
      <c r="O4" s="175">
        <v>2700</v>
      </c>
      <c r="P4" s="175">
        <v>2700</v>
      </c>
      <c r="Q4" s="49" t="s">
        <v>2495</v>
      </c>
      <c r="R4" s="49" t="s">
        <v>81</v>
      </c>
      <c r="S4" s="305" t="s">
        <v>2496</v>
      </c>
      <c r="T4" s="305" t="s">
        <v>1137</v>
      </c>
      <c r="U4" s="49" t="s">
        <v>1731</v>
      </c>
      <c r="V4" s="48" t="s">
        <v>2497</v>
      </c>
      <c r="W4" s="48" t="s">
        <v>2495</v>
      </c>
      <c r="X4" s="48" t="s">
        <v>2520</v>
      </c>
      <c r="Y4" s="176">
        <v>46142</v>
      </c>
      <c r="Z4" s="211" t="s">
        <v>2499</v>
      </c>
      <c r="AA4" s="317"/>
      <c r="AB4" s="176">
        <v>46160</v>
      </c>
      <c r="AC4" s="213" t="s">
        <v>2500</v>
      </c>
      <c r="AD4" s="159" t="s">
        <v>2521</v>
      </c>
    </row>
    <row r="5" s="3" customFormat="1" ht="37.35" hidden="1" customHeight="1" spans="1:31">
      <c r="A5" s="208">
        <f t="shared" si="0"/>
        <v>2</v>
      </c>
      <c r="B5" s="48" t="s">
        <v>394</v>
      </c>
      <c r="C5" s="49" t="s">
        <v>342</v>
      </c>
      <c r="D5" s="50" t="s">
        <v>2502</v>
      </c>
      <c r="E5" s="50" t="s">
        <v>2503</v>
      </c>
      <c r="F5" s="52">
        <v>46112</v>
      </c>
      <c r="G5" s="52">
        <v>46179</v>
      </c>
      <c r="H5" s="52">
        <v>46179</v>
      </c>
      <c r="I5" s="53">
        <v>46133</v>
      </c>
      <c r="J5" s="477">
        <f>SUM(L5:P5)</f>
        <v>13980</v>
      </c>
      <c r="K5" s="175">
        <v>60</v>
      </c>
      <c r="L5" s="175">
        <v>2796</v>
      </c>
      <c r="M5" s="175">
        <v>2796</v>
      </c>
      <c r="N5" s="175">
        <v>2796</v>
      </c>
      <c r="O5" s="175">
        <v>2796</v>
      </c>
      <c r="P5" s="175">
        <v>2796</v>
      </c>
      <c r="Q5" s="49" t="s">
        <v>2147</v>
      </c>
      <c r="R5" s="49" t="s">
        <v>81</v>
      </c>
      <c r="S5" s="305" t="s">
        <v>514</v>
      </c>
      <c r="T5" s="305" t="s">
        <v>2504</v>
      </c>
      <c r="U5" s="48" t="s">
        <v>1744</v>
      </c>
      <c r="V5" s="48" t="s">
        <v>514</v>
      </c>
      <c r="W5" s="48" t="s">
        <v>2147</v>
      </c>
      <c r="X5" s="48" t="s">
        <v>2520</v>
      </c>
      <c r="Y5" s="176">
        <v>46179</v>
      </c>
      <c r="Z5" s="317">
        <v>46182</v>
      </c>
      <c r="AA5" s="176"/>
      <c r="AB5" s="176">
        <v>46188</v>
      </c>
      <c r="AC5" s="710" t="s">
        <v>2505</v>
      </c>
      <c r="AD5" s="159" t="s">
        <v>2521</v>
      </c>
    </row>
    <row r="6" s="3" customFormat="1" ht="37.35" hidden="1" customHeight="1" spans="1:31">
      <c r="A6" s="208">
        <f t="shared" si="0"/>
        <v>3</v>
      </c>
      <c r="B6" s="48" t="s">
        <v>383</v>
      </c>
      <c r="C6" s="49" t="s">
        <v>114</v>
      </c>
      <c r="D6" s="50" t="s">
        <v>753</v>
      </c>
      <c r="E6" s="51" t="s">
        <v>513</v>
      </c>
      <c r="F6" s="52">
        <v>46107</v>
      </c>
      <c r="G6" s="52">
        <v>46191</v>
      </c>
      <c r="H6" s="52">
        <v>46191</v>
      </c>
      <c r="I6" s="53">
        <v>46135</v>
      </c>
      <c r="J6" s="477">
        <f>SUM(L6:P6)</f>
        <v>600</v>
      </c>
      <c r="K6" s="175">
        <v>60</v>
      </c>
      <c r="L6" s="175">
        <v>120</v>
      </c>
      <c r="M6" s="175">
        <v>120</v>
      </c>
      <c r="N6" s="175">
        <v>120</v>
      </c>
      <c r="O6" s="175">
        <v>120</v>
      </c>
      <c r="P6" s="175">
        <v>120</v>
      </c>
      <c r="Q6" s="49" t="s">
        <v>2147</v>
      </c>
      <c r="R6" s="49" t="s">
        <v>81</v>
      </c>
      <c r="S6" s="49" t="s">
        <v>1393</v>
      </c>
      <c r="T6" s="49" t="s">
        <v>2506</v>
      </c>
      <c r="U6" s="48" t="s">
        <v>1744</v>
      </c>
      <c r="V6" s="48" t="s">
        <v>514</v>
      </c>
      <c r="W6" s="48" t="s">
        <v>2147</v>
      </c>
      <c r="X6" s="48" t="s">
        <v>2522</v>
      </c>
      <c r="Y6" s="176">
        <v>46191</v>
      </c>
      <c r="Z6" s="317">
        <v>46190</v>
      </c>
      <c r="AA6" s="176"/>
      <c r="AB6" s="176">
        <v>46207</v>
      </c>
      <c r="AC6" s="710" t="s">
        <v>2523</v>
      </c>
      <c r="AD6" s="159" t="s">
        <v>2521</v>
      </c>
    </row>
    <row r="7" s="3" customFormat="1" ht="37.35" hidden="1" customHeight="1" spans="1:31">
      <c r="A7" s="208">
        <f t="shared" si="0"/>
        <v>4</v>
      </c>
      <c r="B7" s="48" t="s">
        <v>383</v>
      </c>
      <c r="C7" s="49" t="s">
        <v>114</v>
      </c>
      <c r="D7" s="50" t="s">
        <v>559</v>
      </c>
      <c r="E7" s="50" t="s">
        <v>560</v>
      </c>
      <c r="F7" s="52">
        <v>46107</v>
      </c>
      <c r="G7" s="52">
        <v>46219</v>
      </c>
      <c r="H7" s="52">
        <v>46219</v>
      </c>
      <c r="I7" s="53">
        <v>46169</v>
      </c>
      <c r="J7" s="477">
        <f>SUM(L7:P7)</f>
        <v>540</v>
      </c>
      <c r="K7" s="175">
        <v>60</v>
      </c>
      <c r="L7" s="175">
        <v>108</v>
      </c>
      <c r="M7" s="175">
        <v>108</v>
      </c>
      <c r="N7" s="175">
        <v>108</v>
      </c>
      <c r="O7" s="175">
        <v>108</v>
      </c>
      <c r="P7" s="175">
        <v>108</v>
      </c>
      <c r="Q7" s="624" t="s">
        <v>1874</v>
      </c>
      <c r="R7" s="49" t="s">
        <v>81</v>
      </c>
      <c r="S7" s="49" t="s">
        <v>168</v>
      </c>
      <c r="T7" s="49" t="s">
        <v>2506</v>
      </c>
      <c r="U7" s="49" t="s">
        <v>1876</v>
      </c>
      <c r="V7" s="48" t="s">
        <v>561</v>
      </c>
      <c r="W7" s="624" t="s">
        <v>1874</v>
      </c>
      <c r="X7" s="48" t="s">
        <v>2524</v>
      </c>
      <c r="Y7" s="176">
        <v>46219</v>
      </c>
      <c r="Z7" s="211">
        <v>46218</v>
      </c>
      <c r="AA7" s="176"/>
      <c r="AB7" s="176">
        <v>46247</v>
      </c>
      <c r="AC7" s="710" t="s">
        <v>2525</v>
      </c>
      <c r="AD7" s="159" t="s">
        <v>2521</v>
      </c>
    </row>
    <row r="8" s="3" customFormat="1" ht="37.35" hidden="1" customHeight="1" spans="1:31">
      <c r="A8" s="208">
        <f t="shared" si="0"/>
        <v>5</v>
      </c>
      <c r="B8" s="48" t="s">
        <v>2511</v>
      </c>
      <c r="C8" s="49" t="s">
        <v>342</v>
      </c>
      <c r="D8" s="50" t="s">
        <v>2512</v>
      </c>
      <c r="E8" s="50" t="s">
        <v>2513</v>
      </c>
      <c r="F8" s="52">
        <v>46112</v>
      </c>
      <c r="G8" s="52">
        <v>46235</v>
      </c>
      <c r="H8" s="52">
        <v>46235</v>
      </c>
      <c r="I8" s="53">
        <v>46156</v>
      </c>
      <c r="J8" s="477">
        <f>SUM(L8:P8)</f>
        <v>27420</v>
      </c>
      <c r="K8" s="175">
        <v>60</v>
      </c>
      <c r="L8" s="175">
        <v>5484</v>
      </c>
      <c r="M8" s="175">
        <v>5484</v>
      </c>
      <c r="N8" s="175">
        <v>5484</v>
      </c>
      <c r="O8" s="175">
        <v>5484</v>
      </c>
      <c r="P8" s="175">
        <v>5484</v>
      </c>
      <c r="Q8" s="624" t="s">
        <v>1874</v>
      </c>
      <c r="R8" s="49" t="s">
        <v>81</v>
      </c>
      <c r="S8" s="49" t="s">
        <v>2514</v>
      </c>
      <c r="T8" s="49" t="s">
        <v>2515</v>
      </c>
      <c r="U8" s="49" t="s">
        <v>1602</v>
      </c>
      <c r="V8" s="48" t="s">
        <v>1227</v>
      </c>
      <c r="W8" s="624" t="s">
        <v>1874</v>
      </c>
      <c r="X8" s="48" t="s">
        <v>2520</v>
      </c>
      <c r="Y8" s="176">
        <v>46235</v>
      </c>
      <c r="Z8" s="211">
        <v>46239</v>
      </c>
      <c r="AA8" s="176"/>
      <c r="AB8" s="176">
        <v>46275</v>
      </c>
      <c r="AC8" s="710" t="s">
        <v>2526</v>
      </c>
      <c r="AD8" s="159" t="s">
        <v>2521</v>
      </c>
    </row>
    <row r="9" s="3" customFormat="1" ht="37.35" customHeight="1" spans="1:31">
      <c r="A9" s="208">
        <f t="shared" si="0"/>
        <v>6</v>
      </c>
      <c r="B9" s="48" t="s">
        <v>2511</v>
      </c>
      <c r="C9" s="49" t="s">
        <v>342</v>
      </c>
      <c r="D9" s="50" t="s">
        <v>2516</v>
      </c>
      <c r="E9" s="50" t="s">
        <v>2517</v>
      </c>
      <c r="F9" s="52">
        <v>46112</v>
      </c>
      <c r="G9" s="52">
        <v>46269</v>
      </c>
      <c r="H9" s="52">
        <v>46269</v>
      </c>
      <c r="I9" s="53">
        <v>46209</v>
      </c>
      <c r="J9" s="477">
        <f>SUM(L9:P9)</f>
        <v>13680</v>
      </c>
      <c r="K9" s="175">
        <v>60</v>
      </c>
      <c r="L9" s="175">
        <v>2736</v>
      </c>
      <c r="M9" s="175">
        <v>2736</v>
      </c>
      <c r="N9" s="175">
        <v>2736</v>
      </c>
      <c r="O9" s="175">
        <v>2736</v>
      </c>
      <c r="P9" s="175">
        <v>2736</v>
      </c>
      <c r="Q9" s="624" t="s">
        <v>1895</v>
      </c>
      <c r="R9" s="49" t="s">
        <v>81</v>
      </c>
      <c r="S9" s="49" t="s">
        <v>1208</v>
      </c>
      <c r="T9" s="49" t="s">
        <v>2518</v>
      </c>
      <c r="U9" s="49" t="s">
        <v>1903</v>
      </c>
      <c r="V9" s="48" t="s">
        <v>629</v>
      </c>
      <c r="W9" s="624" t="s">
        <v>1895</v>
      </c>
      <c r="X9" s="48" t="s">
        <v>2520</v>
      </c>
      <c r="Y9" s="176">
        <v>46269</v>
      </c>
      <c r="Z9" s="211">
        <v>46267</v>
      </c>
      <c r="AA9" s="176"/>
      <c r="AB9" s="176"/>
      <c r="AC9" s="710" t="s">
        <v>2526</v>
      </c>
      <c r="AD9" s="159" t="s">
        <v>2521</v>
      </c>
    </row>
    <row r="10" s="3" customFormat="1" ht="37.35" hidden="1" customHeight="1" spans="1:31">
      <c r="A10" s="208">
        <f t="shared" si="0"/>
        <v>7</v>
      </c>
      <c r="B10" s="48" t="s">
        <v>570</v>
      </c>
      <c r="C10" s="49" t="s">
        <v>342</v>
      </c>
      <c r="D10" s="50" t="s">
        <v>2527</v>
      </c>
      <c r="E10" s="50" t="s">
        <v>2528</v>
      </c>
      <c r="F10" s="52">
        <v>46181</v>
      </c>
      <c r="G10" s="52">
        <v>46267</v>
      </c>
      <c r="H10" s="52">
        <v>46267</v>
      </c>
      <c r="I10" s="53">
        <v>46206</v>
      </c>
      <c r="J10" s="477">
        <f t="shared" ref="J10:J14" si="1">SUBTOTAL(9,L10:P10)</f>
        <v>0</v>
      </c>
      <c r="K10" s="175">
        <v>60</v>
      </c>
      <c r="L10" s="175">
        <v>96</v>
      </c>
      <c r="M10" s="175">
        <v>96</v>
      </c>
      <c r="N10" s="175">
        <v>96</v>
      </c>
      <c r="O10" s="175">
        <v>96</v>
      </c>
      <c r="P10" s="175">
        <v>96</v>
      </c>
      <c r="Q10" s="624" t="s">
        <v>1895</v>
      </c>
      <c r="R10" s="49" t="s">
        <v>81</v>
      </c>
      <c r="S10" s="49" t="s">
        <v>1660</v>
      </c>
      <c r="T10" s="49" t="s">
        <v>2529</v>
      </c>
      <c r="U10" s="49" t="s">
        <v>2530</v>
      </c>
      <c r="V10" s="48" t="s">
        <v>629</v>
      </c>
      <c r="W10" s="624" t="s">
        <v>1895</v>
      </c>
      <c r="X10" s="48" t="s">
        <v>2531</v>
      </c>
      <c r="Y10" s="176">
        <v>46267</v>
      </c>
      <c r="Z10" s="211">
        <v>46267</v>
      </c>
      <c r="AA10" s="176"/>
      <c r="AB10" s="176">
        <v>46269</v>
      </c>
      <c r="AC10" s="710" t="s">
        <v>2532</v>
      </c>
      <c r="AD10" s="159" t="s">
        <v>2521</v>
      </c>
      <c r="AE10" s="3" t="s">
        <v>2533</v>
      </c>
    </row>
    <row r="11" s="3" customFormat="1" ht="37.35" hidden="1" customHeight="1" spans="1:31">
      <c r="A11" s="208">
        <f t="shared" si="0"/>
        <v>8</v>
      </c>
      <c r="B11" s="48" t="s">
        <v>570</v>
      </c>
      <c r="C11" s="49" t="s">
        <v>342</v>
      </c>
      <c r="D11" s="50" t="s">
        <v>2527</v>
      </c>
      <c r="E11" s="50" t="s">
        <v>2528</v>
      </c>
      <c r="F11" s="52">
        <v>46181</v>
      </c>
      <c r="G11" s="52">
        <v>46267</v>
      </c>
      <c r="H11" s="52">
        <v>46267</v>
      </c>
      <c r="I11" s="53">
        <v>46206</v>
      </c>
      <c r="J11" s="477">
        <f t="shared" si="1"/>
        <v>0</v>
      </c>
      <c r="K11" s="175">
        <v>60</v>
      </c>
      <c r="L11" s="175">
        <v>144</v>
      </c>
      <c r="M11" s="175">
        <v>144</v>
      </c>
      <c r="N11" s="175">
        <v>144</v>
      </c>
      <c r="O11" s="175">
        <v>144</v>
      </c>
      <c r="P11" s="175">
        <v>144</v>
      </c>
      <c r="Q11" s="624" t="s">
        <v>1895</v>
      </c>
      <c r="R11" s="49" t="s">
        <v>81</v>
      </c>
      <c r="S11" s="49" t="s">
        <v>1660</v>
      </c>
      <c r="T11" s="49" t="s">
        <v>2529</v>
      </c>
      <c r="U11" s="49" t="s">
        <v>2530</v>
      </c>
      <c r="V11" s="48" t="s">
        <v>629</v>
      </c>
      <c r="W11" s="624" t="s">
        <v>1895</v>
      </c>
      <c r="X11" s="48" t="s">
        <v>2531</v>
      </c>
      <c r="Y11" s="176">
        <v>46267</v>
      </c>
      <c r="Z11" s="211">
        <v>46267</v>
      </c>
      <c r="AA11" s="176"/>
      <c r="AB11" s="176">
        <v>46269</v>
      </c>
      <c r="AC11" s="710" t="s">
        <v>2534</v>
      </c>
      <c r="AD11" s="159" t="s">
        <v>2521</v>
      </c>
      <c r="AE11" s="3" t="s">
        <v>2533</v>
      </c>
    </row>
    <row r="12" s="3" customFormat="1" ht="37.35" hidden="1" customHeight="1" spans="1:31">
      <c r="A12" s="208">
        <f t="shared" si="0"/>
        <v>9</v>
      </c>
      <c r="B12" s="48" t="s">
        <v>570</v>
      </c>
      <c r="C12" s="49" t="s">
        <v>342</v>
      </c>
      <c r="D12" s="50" t="s">
        <v>2527</v>
      </c>
      <c r="E12" s="50" t="s">
        <v>2528</v>
      </c>
      <c r="F12" s="52">
        <v>46181</v>
      </c>
      <c r="G12" s="52">
        <v>46267</v>
      </c>
      <c r="H12" s="52">
        <v>46267</v>
      </c>
      <c r="I12" s="53">
        <v>46206</v>
      </c>
      <c r="J12" s="477">
        <f t="shared" si="1"/>
        <v>0</v>
      </c>
      <c r="K12" s="175">
        <v>60</v>
      </c>
      <c r="L12" s="175">
        <v>96</v>
      </c>
      <c r="M12" s="175">
        <v>96</v>
      </c>
      <c r="N12" s="175">
        <v>96</v>
      </c>
      <c r="O12" s="175">
        <v>96</v>
      </c>
      <c r="P12" s="175">
        <v>96</v>
      </c>
      <c r="Q12" s="624" t="s">
        <v>1895</v>
      </c>
      <c r="R12" s="49" t="s">
        <v>81</v>
      </c>
      <c r="S12" s="49" t="s">
        <v>1660</v>
      </c>
      <c r="T12" s="49" t="s">
        <v>2529</v>
      </c>
      <c r="U12" s="49" t="s">
        <v>2530</v>
      </c>
      <c r="V12" s="48" t="s">
        <v>629</v>
      </c>
      <c r="W12" s="624" t="s">
        <v>1895</v>
      </c>
      <c r="X12" s="48" t="s">
        <v>2531</v>
      </c>
      <c r="Y12" s="176">
        <v>46267</v>
      </c>
      <c r="Z12" s="211">
        <v>46267</v>
      </c>
      <c r="AA12" s="176"/>
      <c r="AB12" s="176">
        <v>46269</v>
      </c>
      <c r="AC12" s="710" t="s">
        <v>2535</v>
      </c>
      <c r="AD12" s="159" t="s">
        <v>2521</v>
      </c>
      <c r="AE12" s="3" t="s">
        <v>2533</v>
      </c>
    </row>
    <row r="13" s="3" customFormat="1" ht="37.35" customHeight="1" spans="1:31">
      <c r="A13" s="486">
        <f t="shared" si="0"/>
        <v>10</v>
      </c>
      <c r="B13" s="487" t="s">
        <v>2536</v>
      </c>
      <c r="C13" s="146" t="s">
        <v>342</v>
      </c>
      <c r="D13" s="488" t="s">
        <v>2537</v>
      </c>
      <c r="E13" s="488" t="s">
        <v>2538</v>
      </c>
      <c r="F13" s="489">
        <v>46239</v>
      </c>
      <c r="G13" s="489">
        <v>46319</v>
      </c>
      <c r="H13" s="489">
        <v>46319</v>
      </c>
      <c r="I13" s="490">
        <v>46265</v>
      </c>
      <c r="J13" s="754">
        <f t="shared" si="1"/>
        <v>15000</v>
      </c>
      <c r="K13" s="727">
        <v>60</v>
      </c>
      <c r="L13" s="277">
        <v>3000</v>
      </c>
      <c r="M13" s="277">
        <v>3000</v>
      </c>
      <c r="N13" s="277">
        <v>3000</v>
      </c>
      <c r="O13" s="277">
        <v>3000</v>
      </c>
      <c r="P13" s="277">
        <v>3000</v>
      </c>
      <c r="Q13" s="745" t="s">
        <v>1895</v>
      </c>
      <c r="R13" s="96" t="s">
        <v>81</v>
      </c>
      <c r="S13" s="96" t="s">
        <v>1469</v>
      </c>
      <c r="T13" s="96" t="s">
        <v>2529</v>
      </c>
      <c r="U13" s="96" t="s">
        <v>2529</v>
      </c>
      <c r="V13" s="183"/>
      <c r="W13" s="729" t="s">
        <v>1895</v>
      </c>
      <c r="X13" s="183" t="s">
        <v>2539</v>
      </c>
      <c r="Y13" s="280">
        <v>46319</v>
      </c>
      <c r="Z13" s="222"/>
      <c r="AA13" s="97"/>
      <c r="AB13" s="97"/>
      <c r="AC13" s="755" t="s">
        <v>2540</v>
      </c>
      <c r="AD13" s="159" t="s">
        <v>2521</v>
      </c>
      <c r="AE13" s="3" t="s">
        <v>1782</v>
      </c>
    </row>
    <row r="14" s="3" customFormat="1" ht="37.35" customHeight="1" spans="1:31">
      <c r="A14" s="486">
        <f t="shared" si="0"/>
        <v>11</v>
      </c>
      <c r="B14" s="730" t="s">
        <v>570</v>
      </c>
      <c r="C14" s="731" t="s">
        <v>342</v>
      </c>
      <c r="D14" s="732" t="s">
        <v>2541</v>
      </c>
      <c r="E14" s="732"/>
      <c r="F14" s="733">
        <v>46272</v>
      </c>
      <c r="G14" s="733"/>
      <c r="H14" s="733"/>
      <c r="I14" s="734"/>
      <c r="J14" s="756">
        <f t="shared" si="1"/>
        <v>540</v>
      </c>
      <c r="K14" s="735">
        <v>60</v>
      </c>
      <c r="L14" s="277">
        <v>108</v>
      </c>
      <c r="M14" s="277">
        <v>108</v>
      </c>
      <c r="N14" s="277">
        <v>108</v>
      </c>
      <c r="O14" s="277">
        <v>108</v>
      </c>
      <c r="P14" s="277">
        <v>108</v>
      </c>
      <c r="Q14" s="745"/>
      <c r="R14" s="96"/>
      <c r="S14" s="96"/>
      <c r="T14" s="96"/>
      <c r="U14" s="746"/>
      <c r="V14" s="183"/>
      <c r="W14" s="729"/>
      <c r="X14" s="183"/>
      <c r="Y14" s="280"/>
      <c r="Z14" s="222"/>
      <c r="AA14" s="97"/>
      <c r="AB14" s="97"/>
      <c r="AC14" s="755" t="s">
        <v>2542</v>
      </c>
      <c r="AD14" s="159" t="s">
        <v>2521</v>
      </c>
    </row>
    <row r="15" s="3" customFormat="1" ht="37.35" customHeight="1" spans="1:31">
      <c r="A15" s="215">
        <f t="shared" si="0"/>
        <v>12</v>
      </c>
      <c r="B15" s="183"/>
      <c r="C15" s="96"/>
      <c r="D15" s="216"/>
      <c r="E15" s="216"/>
      <c r="F15" s="217"/>
      <c r="G15" s="217"/>
      <c r="H15" s="217"/>
      <c r="I15" s="218"/>
      <c r="J15" s="360"/>
      <c r="K15" s="95"/>
      <c r="L15" s="277"/>
      <c r="M15" s="277"/>
      <c r="N15" s="277"/>
      <c r="O15" s="277"/>
      <c r="P15" s="277"/>
      <c r="Q15" s="219"/>
      <c r="R15" s="96"/>
      <c r="S15" s="96"/>
      <c r="T15" s="96"/>
      <c r="U15" s="96"/>
      <c r="V15" s="183"/>
      <c r="W15" s="183"/>
      <c r="X15" s="183"/>
      <c r="Y15" s="280"/>
      <c r="Z15" s="222"/>
      <c r="AA15" s="97"/>
      <c r="AB15" s="97"/>
      <c r="AC15" s="183"/>
      <c r="AD15" s="159"/>
    </row>
    <row r="16" s="3" customFormat="1" ht="17.1" customHeight="1" spans="1:31">
      <c r="A16" s="757" t="s">
        <v>66</v>
      </c>
      <c r="B16" s="758"/>
      <c r="C16" s="758"/>
      <c r="D16" s="758"/>
      <c r="E16" s="758"/>
      <c r="F16" s="758"/>
      <c r="G16" s="758"/>
      <c r="H16" s="758"/>
      <c r="I16" s="759"/>
      <c r="J16" s="360">
        <f>SUM(J4:J9)</f>
        <v>56220</v>
      </c>
      <c r="K16" s="95"/>
      <c r="L16" s="95">
        <f>SUM(L4:L15)</f>
        <v>17388</v>
      </c>
      <c r="M16" s="95">
        <f>SUM(M4:M15)</f>
        <v>17388</v>
      </c>
      <c r="N16" s="95">
        <f>SUM(N4:N15)</f>
        <v>17388</v>
      </c>
      <c r="O16" s="95">
        <f>SUM(O4:O15)</f>
        <v>17388</v>
      </c>
      <c r="P16" s="95">
        <f>SUM(P4:P15)</f>
        <v>17388</v>
      </c>
      <c r="Q16" s="95"/>
      <c r="R16" s="96"/>
      <c r="S16" s="96"/>
      <c r="T16" s="96"/>
      <c r="U16" s="96"/>
      <c r="V16" s="96"/>
      <c r="W16" s="96"/>
      <c r="X16" s="96"/>
      <c r="Y16" s="97"/>
      <c r="Z16" s="97"/>
      <c r="AA16" s="97"/>
      <c r="AB16" s="97"/>
      <c r="AC16" s="98"/>
    </row>
    <row r="17" s="4" customFormat="1" ht="17.1" customHeight="1" spans="1:29">
      <c r="A17" s="760"/>
      <c r="B17" s="761"/>
      <c r="C17" s="761"/>
      <c r="D17" s="761"/>
      <c r="E17" s="761"/>
      <c r="F17" s="761"/>
      <c r="G17" s="761"/>
      <c r="H17" s="761"/>
      <c r="I17" s="762"/>
      <c r="J17" s="696">
        <f>SUBTOTAL(9,L17:P17)</f>
        <v>86400</v>
      </c>
      <c r="K17" s="100"/>
      <c r="L17" s="147">
        <f t="shared" ref="L17:P17" si="2">2700+3024+8220+336+3000</f>
        <v>17280</v>
      </c>
      <c r="M17" s="147">
        <f t="shared" si="2"/>
        <v>17280</v>
      </c>
      <c r="N17" s="147">
        <f t="shared" si="2"/>
        <v>17280</v>
      </c>
      <c r="O17" s="147">
        <f t="shared" si="2"/>
        <v>17280</v>
      </c>
      <c r="P17" s="147">
        <f t="shared" si="2"/>
        <v>17280</v>
      </c>
      <c r="Q17" s="147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2"/>
    </row>
    <row r="18" s="4" customFormat="1" ht="19.5" customHeight="1" spans="1:29">
      <c r="A18" s="241" t="s">
        <v>67</v>
      </c>
      <c r="B18" s="242"/>
      <c r="C18" s="242"/>
      <c r="D18" s="242"/>
      <c r="E18" s="242"/>
      <c r="F18" s="242"/>
      <c r="G18" s="242"/>
      <c r="H18" s="242"/>
      <c r="I18" s="243"/>
      <c r="J18" s="701">
        <f t="shared" ref="J18:P18" si="3">J17-J16</f>
        <v>30180</v>
      </c>
      <c r="K18" s="245"/>
      <c r="L18" s="106">
        <f t="shared" si="3"/>
        <v>-108</v>
      </c>
      <c r="M18" s="106">
        <f t="shared" si="3"/>
        <v>-108</v>
      </c>
      <c r="N18" s="106">
        <f t="shared" si="3"/>
        <v>-108</v>
      </c>
      <c r="O18" s="106">
        <f t="shared" si="3"/>
        <v>-108</v>
      </c>
      <c r="P18" s="106">
        <f t="shared" si="3"/>
        <v>-108</v>
      </c>
      <c r="Q18" s="106"/>
      <c r="R18" s="106"/>
      <c r="S18" s="106"/>
      <c r="T18" s="106"/>
      <c r="U18" s="106"/>
      <c r="V18" s="106"/>
      <c r="W18" s="106"/>
      <c r="X18" s="106"/>
      <c r="Y18" s="107"/>
      <c r="Z18" s="107"/>
      <c r="AA18" s="107"/>
      <c r="AB18" s="107"/>
      <c r="AC18" s="109"/>
    </row>
    <row r="19" ht="21" customHeight="1" spans="1:29">
      <c r="B19" s="110" t="s">
        <v>68</v>
      </c>
      <c r="C19" s="110"/>
      <c r="D19" s="111"/>
      <c r="E19" s="111"/>
      <c r="F19" s="111"/>
      <c r="G19" s="111"/>
      <c r="H19" s="698"/>
      <c r="I19" s="698"/>
      <c r="J19" s="372"/>
      <c r="L19" s="445"/>
      <c r="M19" s="445"/>
      <c r="N19" s="445"/>
      <c r="O19" s="445"/>
      <c r="P19" s="445"/>
    </row>
  </sheetData>
  <autoFilter xmlns:etc="http://www.wps.cn/officeDocument/2017/etCustomData" ref="A3:AD19" etc:filterBottomFollowUsedRange="0">
    <filterColumn colId="27">
      <filters blank="1"/>
    </filterColumn>
    <extLst/>
  </autoFilter>
  <mergeCells count="32">
    <mergeCell ref="A1:X1"/>
    <mergeCell ref="Y1:AA1"/>
    <mergeCell ref="AB1:AC1"/>
    <mergeCell ref="L2:P2"/>
    <mergeCell ref="A16:I16"/>
    <mergeCell ref="A17:I17"/>
    <mergeCell ref="A18:I18"/>
    <mergeCell ref="H19:I1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</mergeCells>
  <conditionalFormatting sqref="L18:X18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354166666666667" header="0.313888888888889" footer="0.313888888888889"/>
  <pageSetup paperSize="9" scale="56" orientation="landscape"/>
  <headerFooter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I26"/>
  <sheetViews>
    <sheetView tabSelected="1" workbookViewId="0">
      <pane xSplit="11" ySplit="3" topLeftCell="Q4" activePane="bottomRight" state="frozen"/>
      <selection/>
      <selection pane="topRight"/>
      <selection pane="bottomLeft"/>
      <selection pane="bottomRight" activeCell="D13" sqref="D13"/>
    </sheetView>
  </sheetViews>
  <sheetFormatPr defaultColWidth="9" defaultRowHeight="14.25"/>
  <cols>
    <col min="1" max="1" width="3.125" customWidth="1"/>
    <col min="2" max="2" width="9.125" customWidth="1"/>
    <col min="3" max="3" width="7" customWidth="1"/>
    <col min="4" max="4" width="11.625" customWidth="1"/>
    <col min="5" max="5" width="9.625" customWidth="1"/>
    <col min="6" max="9" width="5.875" customWidth="1"/>
    <col min="10" max="10" width="7.125" customWidth="1"/>
    <col min="11" max="11" width="5.125" customWidth="1"/>
    <col min="12" max="19" width="6.375" customWidth="1"/>
    <col min="20" max="20" width="8.75" customWidth="1"/>
    <col min="21" max="23" width="5.125" customWidth="1"/>
    <col min="24" max="24" width="5.625" customWidth="1"/>
    <col min="25" max="25" width="5.125" customWidth="1"/>
    <col min="26" max="26" width="8.875" customWidth="1"/>
    <col min="27" max="27" width="19.625" customWidth="1"/>
    <col min="28" max="28" width="8.625" style="114" customWidth="1"/>
    <col min="29" max="29" width="8.625" style="113" customWidth="1"/>
    <col min="30" max="30" width="7.125" style="113" customWidth="1"/>
    <col min="31" max="31" width="8.125" style="113" customWidth="1"/>
    <col min="32" max="32" width="16.125" style="194" customWidth="1"/>
    <col min="33" max="33" width="17.125" style="255" customWidth="1"/>
    <col min="34" max="34" width="12.125" style="193" customWidth="1"/>
  </cols>
  <sheetData>
    <row r="1" ht="35.1" customHeight="1" spans="1:35">
      <c r="A1" s="298" t="s">
        <v>2543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59" t="s">
        <v>1</v>
      </c>
      <c r="AC1" s="312"/>
      <c r="AD1" s="260"/>
      <c r="AE1" s="200">
        <f ca="1">TODAY()</f>
        <v>46277</v>
      </c>
      <c r="AF1" s="201"/>
    </row>
    <row r="2" s="190" customFormat="1" ht="21.95" customHeight="1" spans="1:35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7" t="s">
        <v>13</v>
      </c>
      <c r="M2" s="188"/>
      <c r="N2" s="188"/>
      <c r="O2" s="188"/>
      <c r="P2" s="188"/>
      <c r="Q2" s="188"/>
      <c r="R2" s="188"/>
      <c r="S2" s="188"/>
      <c r="T2" s="20" t="s">
        <v>14</v>
      </c>
      <c r="U2" s="22" t="s">
        <v>15</v>
      </c>
      <c r="V2" s="22" t="s">
        <v>16</v>
      </c>
      <c r="W2" s="22" t="s">
        <v>178</v>
      </c>
      <c r="X2" s="22" t="s">
        <v>18</v>
      </c>
      <c r="Y2" s="22" t="s">
        <v>19</v>
      </c>
      <c r="Z2" s="22" t="s">
        <v>20</v>
      </c>
      <c r="AA2" s="261" t="s">
        <v>21</v>
      </c>
      <c r="AB2" s="25" t="s">
        <v>22</v>
      </c>
      <c r="AC2" s="26" t="s">
        <v>23</v>
      </c>
      <c r="AD2" s="26" t="s">
        <v>24</v>
      </c>
      <c r="AE2" s="26" t="s">
        <v>25</v>
      </c>
      <c r="AF2" s="205" t="s">
        <v>26</v>
      </c>
      <c r="AG2" s="159"/>
      <c r="AH2" s="206"/>
    </row>
    <row r="3" s="190" customFormat="1" ht="41.25" customHeight="1" spans="1:35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740" t="s">
        <v>1618</v>
      </c>
      <c r="M3" s="741" t="s">
        <v>1851</v>
      </c>
      <c r="N3" s="741" t="s">
        <v>1561</v>
      </c>
      <c r="O3" s="741" t="s">
        <v>1564</v>
      </c>
      <c r="P3" s="742" t="s">
        <v>1614</v>
      </c>
      <c r="Q3" s="742" t="s">
        <v>2238</v>
      </c>
      <c r="R3" s="740" t="s">
        <v>1615</v>
      </c>
      <c r="S3" s="741" t="s">
        <v>33</v>
      </c>
      <c r="T3" s="31"/>
      <c r="U3" s="32"/>
      <c r="V3" s="32"/>
      <c r="W3" s="32"/>
      <c r="X3" s="32"/>
      <c r="Y3" s="32"/>
      <c r="Z3" s="32"/>
      <c r="AA3" s="267"/>
      <c r="AB3" s="25"/>
      <c r="AC3" s="26"/>
      <c r="AD3" s="26"/>
      <c r="AE3" s="26"/>
      <c r="AF3" s="205"/>
      <c r="AG3" s="159" t="s">
        <v>65</v>
      </c>
      <c r="AH3" s="206" t="s">
        <v>2002</v>
      </c>
      <c r="AI3" s="206"/>
    </row>
    <row r="4" s="311" customFormat="1" ht="37.5" hidden="1" customHeight="1" spans="1:35">
      <c r="A4" s="208">
        <f t="shared" ref="A4:A16" si="0">ROW()-3</f>
        <v>1</v>
      </c>
      <c r="B4" s="48" t="s">
        <v>394</v>
      </c>
      <c r="C4" s="49" t="s">
        <v>342</v>
      </c>
      <c r="D4" s="50" t="s">
        <v>2493</v>
      </c>
      <c r="E4" s="50" t="s">
        <v>2494</v>
      </c>
      <c r="F4" s="52">
        <v>46063</v>
      </c>
      <c r="G4" s="52">
        <v>46142</v>
      </c>
      <c r="H4" s="52">
        <v>46142</v>
      </c>
      <c r="I4" s="53">
        <v>46121</v>
      </c>
      <c r="J4" s="327">
        <f t="shared" ref="J4:J9" si="1">SUM(L4:S4)</f>
        <v>24000</v>
      </c>
      <c r="K4" s="175">
        <v>96</v>
      </c>
      <c r="L4" s="175">
        <v>3000</v>
      </c>
      <c r="M4" s="175">
        <v>3000</v>
      </c>
      <c r="N4" s="175">
        <v>3000</v>
      </c>
      <c r="O4" s="175">
        <v>3000</v>
      </c>
      <c r="P4" s="175">
        <v>3000</v>
      </c>
      <c r="Q4" s="175">
        <v>3000</v>
      </c>
      <c r="R4" s="175">
        <v>3000</v>
      </c>
      <c r="S4" s="175">
        <v>3000</v>
      </c>
      <c r="T4" s="739" t="s">
        <v>2495</v>
      </c>
      <c r="U4" s="49" t="s">
        <v>81</v>
      </c>
      <c r="V4" s="305" t="s">
        <v>2496</v>
      </c>
      <c r="W4" s="305" t="s">
        <v>1137</v>
      </c>
      <c r="X4" s="48" t="s">
        <v>1731</v>
      </c>
      <c r="Y4" s="48" t="s">
        <v>2497</v>
      </c>
      <c r="Z4" s="316" t="s">
        <v>2495</v>
      </c>
      <c r="AA4" s="48" t="s">
        <v>2544</v>
      </c>
      <c r="AB4" s="176">
        <v>46142</v>
      </c>
      <c r="AC4" s="211" t="s">
        <v>2499</v>
      </c>
      <c r="AD4" s="317"/>
      <c r="AE4" s="211">
        <v>46160</v>
      </c>
      <c r="AF4" s="213" t="s">
        <v>2500</v>
      </c>
      <c r="AG4" s="159" t="s">
        <v>2545</v>
      </c>
    </row>
    <row r="5" s="311" customFormat="1" ht="37.5" hidden="1" customHeight="1" spans="1:35">
      <c r="A5" s="208">
        <f t="shared" si="0"/>
        <v>2</v>
      </c>
      <c r="B5" s="48" t="s">
        <v>394</v>
      </c>
      <c r="C5" s="49" t="s">
        <v>342</v>
      </c>
      <c r="D5" s="50" t="s">
        <v>2502</v>
      </c>
      <c r="E5" s="50" t="s">
        <v>2503</v>
      </c>
      <c r="F5" s="52">
        <v>46112</v>
      </c>
      <c r="G5" s="52">
        <v>46179</v>
      </c>
      <c r="H5" s="52">
        <v>46179</v>
      </c>
      <c r="I5" s="53">
        <v>46133</v>
      </c>
      <c r="J5" s="327">
        <f t="shared" si="1"/>
        <v>15072</v>
      </c>
      <c r="K5" s="175">
        <v>96</v>
      </c>
      <c r="L5" s="175">
        <v>1884</v>
      </c>
      <c r="M5" s="175">
        <v>1884</v>
      </c>
      <c r="N5" s="175">
        <v>1884</v>
      </c>
      <c r="O5" s="175">
        <v>1884</v>
      </c>
      <c r="P5" s="175">
        <v>1884</v>
      </c>
      <c r="Q5" s="175">
        <v>1884</v>
      </c>
      <c r="R5" s="175">
        <v>1884</v>
      </c>
      <c r="S5" s="175">
        <v>1884</v>
      </c>
      <c r="T5" s="316" t="s">
        <v>2147</v>
      </c>
      <c r="U5" s="49" t="s">
        <v>81</v>
      </c>
      <c r="V5" s="305" t="s">
        <v>514</v>
      </c>
      <c r="W5" s="305" t="s">
        <v>2504</v>
      </c>
      <c r="X5" s="48" t="s">
        <v>1744</v>
      </c>
      <c r="Y5" s="48" t="s">
        <v>514</v>
      </c>
      <c r="Z5" s="316" t="s">
        <v>2147</v>
      </c>
      <c r="AA5" s="48" t="s">
        <v>2544</v>
      </c>
      <c r="AB5" s="176">
        <v>46179</v>
      </c>
      <c r="AC5" s="317">
        <v>46182</v>
      </c>
      <c r="AD5" s="317"/>
      <c r="AE5" s="211">
        <v>46188</v>
      </c>
      <c r="AF5" s="213" t="s">
        <v>2505</v>
      </c>
      <c r="AG5" s="159" t="s">
        <v>2545</v>
      </c>
    </row>
    <row r="6" s="311" customFormat="1" ht="37.5" hidden="1" customHeight="1" spans="1:35">
      <c r="A6" s="208">
        <f t="shared" si="0"/>
        <v>3</v>
      </c>
      <c r="B6" s="48" t="s">
        <v>383</v>
      </c>
      <c r="C6" s="49" t="s">
        <v>114</v>
      </c>
      <c r="D6" s="50" t="s">
        <v>753</v>
      </c>
      <c r="E6" s="51" t="s">
        <v>513</v>
      </c>
      <c r="F6" s="52">
        <v>46107</v>
      </c>
      <c r="G6" s="52">
        <v>46191</v>
      </c>
      <c r="H6" s="52">
        <v>46191</v>
      </c>
      <c r="I6" s="53">
        <v>46135</v>
      </c>
      <c r="J6" s="327">
        <f t="shared" si="1"/>
        <v>864</v>
      </c>
      <c r="K6" s="175">
        <v>96</v>
      </c>
      <c r="L6" s="175">
        <v>108</v>
      </c>
      <c r="M6" s="175">
        <v>108</v>
      </c>
      <c r="N6" s="175">
        <v>108</v>
      </c>
      <c r="O6" s="175">
        <v>108</v>
      </c>
      <c r="P6" s="175">
        <v>108</v>
      </c>
      <c r="Q6" s="175">
        <v>108</v>
      </c>
      <c r="R6" s="175">
        <v>108</v>
      </c>
      <c r="S6" s="175">
        <v>108</v>
      </c>
      <c r="T6" s="316" t="s">
        <v>2147</v>
      </c>
      <c r="U6" s="49" t="s">
        <v>81</v>
      </c>
      <c r="V6" s="305" t="s">
        <v>1393</v>
      </c>
      <c r="W6" s="49" t="s">
        <v>2506</v>
      </c>
      <c r="X6" s="48" t="s">
        <v>1744</v>
      </c>
      <c r="Y6" s="48" t="s">
        <v>514</v>
      </c>
      <c r="Z6" s="316" t="s">
        <v>2147</v>
      </c>
      <c r="AA6" s="48" t="s">
        <v>2546</v>
      </c>
      <c r="AB6" s="176">
        <v>46191</v>
      </c>
      <c r="AC6" s="317">
        <v>46190</v>
      </c>
      <c r="AD6" s="317"/>
      <c r="AE6" s="211">
        <v>46207</v>
      </c>
      <c r="AF6" s="213" t="s">
        <v>2547</v>
      </c>
      <c r="AG6" s="159" t="s">
        <v>2545</v>
      </c>
    </row>
    <row r="7" s="311" customFormat="1" ht="37.5" hidden="1" customHeight="1" spans="1:35">
      <c r="A7" s="208">
        <f t="shared" si="0"/>
        <v>4</v>
      </c>
      <c r="B7" s="48" t="s">
        <v>383</v>
      </c>
      <c r="C7" s="49" t="s">
        <v>114</v>
      </c>
      <c r="D7" s="743" t="s">
        <v>559</v>
      </c>
      <c r="E7" s="50" t="s">
        <v>560</v>
      </c>
      <c r="F7" s="52">
        <v>46107</v>
      </c>
      <c r="G7" s="52">
        <v>46219</v>
      </c>
      <c r="H7" s="52">
        <v>46219</v>
      </c>
      <c r="I7" s="53">
        <v>46169</v>
      </c>
      <c r="J7" s="327">
        <f t="shared" si="1"/>
        <v>864</v>
      </c>
      <c r="K7" s="175">
        <v>96</v>
      </c>
      <c r="L7" s="175">
        <v>108</v>
      </c>
      <c r="M7" s="175">
        <v>108</v>
      </c>
      <c r="N7" s="175">
        <v>108</v>
      </c>
      <c r="O7" s="175">
        <v>108</v>
      </c>
      <c r="P7" s="175">
        <v>108</v>
      </c>
      <c r="Q7" s="175">
        <v>108</v>
      </c>
      <c r="R7" s="175">
        <v>108</v>
      </c>
      <c r="S7" s="175">
        <v>108</v>
      </c>
      <c r="T7" s="624" t="s">
        <v>1874</v>
      </c>
      <c r="U7" s="49" t="s">
        <v>81</v>
      </c>
      <c r="V7" s="49" t="s">
        <v>168</v>
      </c>
      <c r="W7" s="49" t="s">
        <v>2506</v>
      </c>
      <c r="X7" s="49" t="s">
        <v>1876</v>
      </c>
      <c r="Y7" s="48" t="s">
        <v>561</v>
      </c>
      <c r="Z7" s="624" t="s">
        <v>1874</v>
      </c>
      <c r="AA7" s="48" t="s">
        <v>2548</v>
      </c>
      <c r="AB7" s="176">
        <v>46219</v>
      </c>
      <c r="AC7" s="211">
        <v>46218</v>
      </c>
      <c r="AD7" s="317"/>
      <c r="AE7" s="211">
        <v>46247</v>
      </c>
      <c r="AF7" s="213" t="s">
        <v>2549</v>
      </c>
      <c r="AG7" s="159" t="s">
        <v>2545</v>
      </c>
    </row>
    <row r="8" s="311" customFormat="1" ht="37.5" hidden="1" customHeight="1" spans="1:35">
      <c r="A8" s="208">
        <f t="shared" si="0"/>
        <v>5</v>
      </c>
      <c r="B8" s="48" t="s">
        <v>2511</v>
      </c>
      <c r="C8" s="49" t="s">
        <v>342</v>
      </c>
      <c r="D8" s="50" t="s">
        <v>2512</v>
      </c>
      <c r="E8" s="50" t="s">
        <v>2513</v>
      </c>
      <c r="F8" s="52">
        <v>46112</v>
      </c>
      <c r="G8" s="52">
        <v>46235</v>
      </c>
      <c r="H8" s="52">
        <v>46235</v>
      </c>
      <c r="I8" s="53">
        <v>46156</v>
      </c>
      <c r="J8" s="327">
        <f t="shared" si="1"/>
        <v>39168</v>
      </c>
      <c r="K8" s="175">
        <v>96</v>
      </c>
      <c r="L8" s="175">
        <v>4896</v>
      </c>
      <c r="M8" s="175">
        <v>4896</v>
      </c>
      <c r="N8" s="175">
        <v>4896</v>
      </c>
      <c r="O8" s="175">
        <v>4896</v>
      </c>
      <c r="P8" s="175">
        <v>4896</v>
      </c>
      <c r="Q8" s="175">
        <v>4896</v>
      </c>
      <c r="R8" s="175">
        <v>4896</v>
      </c>
      <c r="S8" s="175">
        <v>4896</v>
      </c>
      <c r="T8" s="624" t="s">
        <v>1874</v>
      </c>
      <c r="U8" s="49" t="s">
        <v>81</v>
      </c>
      <c r="V8" s="49" t="s">
        <v>2514</v>
      </c>
      <c r="W8" s="49" t="s">
        <v>2515</v>
      </c>
      <c r="X8" s="49" t="s">
        <v>1602</v>
      </c>
      <c r="Y8" s="48" t="s">
        <v>1227</v>
      </c>
      <c r="Z8" s="624" t="s">
        <v>1874</v>
      </c>
      <c r="AA8" s="48" t="s">
        <v>2550</v>
      </c>
      <c r="AB8" s="176">
        <v>46235</v>
      </c>
      <c r="AC8" s="211">
        <v>46239</v>
      </c>
      <c r="AD8" s="317"/>
      <c r="AE8" s="211">
        <v>46275</v>
      </c>
      <c r="AF8" s="213" t="s">
        <v>2526</v>
      </c>
      <c r="AG8" s="159" t="s">
        <v>2545</v>
      </c>
      <c r="AH8" s="3"/>
    </row>
    <row r="9" s="311" customFormat="1" ht="37.5" customHeight="1" spans="1:35">
      <c r="A9" s="208">
        <f t="shared" si="0"/>
        <v>6</v>
      </c>
      <c r="B9" s="48" t="s">
        <v>2511</v>
      </c>
      <c r="C9" s="49" t="s">
        <v>342</v>
      </c>
      <c r="D9" s="50" t="s">
        <v>2516</v>
      </c>
      <c r="E9" s="50" t="s">
        <v>2517</v>
      </c>
      <c r="F9" s="52">
        <v>46112</v>
      </c>
      <c r="G9" s="52">
        <v>46269</v>
      </c>
      <c r="H9" s="52">
        <v>46269</v>
      </c>
      <c r="I9" s="53">
        <v>46209</v>
      </c>
      <c r="J9" s="327">
        <f t="shared" si="1"/>
        <v>19584</v>
      </c>
      <c r="K9" s="175">
        <v>96</v>
      </c>
      <c r="L9" s="175">
        <v>2448</v>
      </c>
      <c r="M9" s="175">
        <v>2448</v>
      </c>
      <c r="N9" s="175">
        <v>2448</v>
      </c>
      <c r="O9" s="175">
        <v>2448</v>
      </c>
      <c r="P9" s="175">
        <v>2448</v>
      </c>
      <c r="Q9" s="175">
        <v>2448</v>
      </c>
      <c r="R9" s="175">
        <v>2448</v>
      </c>
      <c r="S9" s="175">
        <v>2448</v>
      </c>
      <c r="T9" s="624" t="s">
        <v>1895</v>
      </c>
      <c r="U9" s="49" t="s">
        <v>81</v>
      </c>
      <c r="V9" s="49" t="s">
        <v>1208</v>
      </c>
      <c r="W9" s="49" t="s">
        <v>2518</v>
      </c>
      <c r="X9" s="49" t="s">
        <v>1903</v>
      </c>
      <c r="Y9" s="48" t="s">
        <v>629</v>
      </c>
      <c r="Z9" s="624" t="s">
        <v>1895</v>
      </c>
      <c r="AA9" s="48" t="s">
        <v>2550</v>
      </c>
      <c r="AB9" s="176">
        <v>46269</v>
      </c>
      <c r="AC9" s="211">
        <v>46267</v>
      </c>
      <c r="AD9" s="308"/>
      <c r="AE9" s="211"/>
      <c r="AF9" s="213" t="s">
        <v>2526</v>
      </c>
      <c r="AG9" s="159" t="s">
        <v>2545</v>
      </c>
      <c r="AH9" s="3"/>
    </row>
    <row r="10" s="311" customFormat="1" ht="37.5" hidden="1" customHeight="1" spans="1:35">
      <c r="A10" s="208">
        <f t="shared" si="0"/>
        <v>7</v>
      </c>
      <c r="B10" s="48" t="s">
        <v>570</v>
      </c>
      <c r="C10" s="49" t="s">
        <v>342</v>
      </c>
      <c r="D10" s="50" t="s">
        <v>2527</v>
      </c>
      <c r="E10" s="50" t="s">
        <v>2528</v>
      </c>
      <c r="F10" s="52">
        <v>46181</v>
      </c>
      <c r="G10" s="52">
        <v>46267</v>
      </c>
      <c r="H10" s="52">
        <v>46267</v>
      </c>
      <c r="I10" s="53">
        <v>46206</v>
      </c>
      <c r="J10" s="327">
        <f t="shared" ref="J10:J15" si="2">SUBTOTAL(9,L10:S10)</f>
        <v>0</v>
      </c>
      <c r="K10" s="175">
        <v>96</v>
      </c>
      <c r="L10" s="175">
        <v>96</v>
      </c>
      <c r="M10" s="175">
        <v>96</v>
      </c>
      <c r="N10" s="175">
        <v>96</v>
      </c>
      <c r="O10" s="175">
        <v>96</v>
      </c>
      <c r="P10" s="175">
        <v>96</v>
      </c>
      <c r="Q10" s="175">
        <v>96</v>
      </c>
      <c r="R10" s="175">
        <v>96</v>
      </c>
      <c r="S10" s="175">
        <v>96</v>
      </c>
      <c r="T10" s="624" t="s">
        <v>1895</v>
      </c>
      <c r="U10" s="49" t="s">
        <v>81</v>
      </c>
      <c r="V10" s="49" t="s">
        <v>1660</v>
      </c>
      <c r="W10" s="49" t="s">
        <v>2530</v>
      </c>
      <c r="X10" s="49" t="s">
        <v>2530</v>
      </c>
      <c r="Y10" s="48" t="s">
        <v>629</v>
      </c>
      <c r="Z10" s="624" t="s">
        <v>1895</v>
      </c>
      <c r="AA10" s="48" t="s">
        <v>2551</v>
      </c>
      <c r="AB10" s="176">
        <v>46267</v>
      </c>
      <c r="AC10" s="211">
        <v>46267</v>
      </c>
      <c r="AD10" s="317"/>
      <c r="AE10" s="211">
        <v>46269</v>
      </c>
      <c r="AF10" s="213" t="s">
        <v>2552</v>
      </c>
      <c r="AG10" s="159" t="s">
        <v>2545</v>
      </c>
      <c r="AH10" s="3" t="s">
        <v>2553</v>
      </c>
    </row>
    <row r="11" s="311" customFormat="1" ht="37.5" hidden="1" customHeight="1" spans="1:35">
      <c r="A11" s="208">
        <f t="shared" si="0"/>
        <v>8</v>
      </c>
      <c r="B11" s="48" t="s">
        <v>570</v>
      </c>
      <c r="C11" s="49" t="s">
        <v>342</v>
      </c>
      <c r="D11" s="50" t="s">
        <v>2527</v>
      </c>
      <c r="E11" s="50" t="s">
        <v>2528</v>
      </c>
      <c r="F11" s="52">
        <v>46181</v>
      </c>
      <c r="G11" s="52">
        <v>46267</v>
      </c>
      <c r="H11" s="52">
        <v>46267</v>
      </c>
      <c r="I11" s="53">
        <v>46206</v>
      </c>
      <c r="J11" s="327">
        <f t="shared" si="2"/>
        <v>0</v>
      </c>
      <c r="K11" s="175">
        <v>96</v>
      </c>
      <c r="L11" s="175">
        <v>96</v>
      </c>
      <c r="M11" s="175">
        <v>96</v>
      </c>
      <c r="N11" s="175">
        <v>96</v>
      </c>
      <c r="O11" s="175">
        <v>96</v>
      </c>
      <c r="P11" s="175">
        <v>96</v>
      </c>
      <c r="Q11" s="175">
        <v>96</v>
      </c>
      <c r="R11" s="175">
        <v>96</v>
      </c>
      <c r="S11" s="175">
        <v>96</v>
      </c>
      <c r="T11" s="624" t="s">
        <v>1895</v>
      </c>
      <c r="U11" s="49" t="s">
        <v>81</v>
      </c>
      <c r="V11" s="49" t="s">
        <v>1660</v>
      </c>
      <c r="W11" s="49" t="s">
        <v>2530</v>
      </c>
      <c r="X11" s="49" t="s">
        <v>2530</v>
      </c>
      <c r="Y11" s="48" t="s">
        <v>629</v>
      </c>
      <c r="Z11" s="624" t="s">
        <v>1895</v>
      </c>
      <c r="AA11" s="48" t="s">
        <v>2551</v>
      </c>
      <c r="AB11" s="176">
        <v>46267</v>
      </c>
      <c r="AC11" s="211">
        <v>46267</v>
      </c>
      <c r="AD11" s="317"/>
      <c r="AE11" s="211">
        <v>46269</v>
      </c>
      <c r="AF11" s="213" t="s">
        <v>2554</v>
      </c>
      <c r="AG11" s="159" t="s">
        <v>2545</v>
      </c>
      <c r="AH11" s="3" t="s">
        <v>2553</v>
      </c>
    </row>
    <row r="12" s="311" customFormat="1" ht="37.5" hidden="1" customHeight="1" spans="1:35">
      <c r="A12" s="208">
        <f t="shared" si="0"/>
        <v>9</v>
      </c>
      <c r="B12" s="48" t="s">
        <v>570</v>
      </c>
      <c r="C12" s="49" t="s">
        <v>342</v>
      </c>
      <c r="D12" s="50" t="s">
        <v>2527</v>
      </c>
      <c r="E12" s="50" t="s">
        <v>2528</v>
      </c>
      <c r="F12" s="52">
        <v>46181</v>
      </c>
      <c r="G12" s="52">
        <v>46267</v>
      </c>
      <c r="H12" s="52">
        <v>46267</v>
      </c>
      <c r="I12" s="53">
        <v>46206</v>
      </c>
      <c r="J12" s="327">
        <f t="shared" si="2"/>
        <v>0</v>
      </c>
      <c r="K12" s="175">
        <v>96</v>
      </c>
      <c r="L12" s="175">
        <v>204</v>
      </c>
      <c r="M12" s="175">
        <v>204</v>
      </c>
      <c r="N12" s="175">
        <v>204</v>
      </c>
      <c r="O12" s="175">
        <v>204</v>
      </c>
      <c r="P12" s="175">
        <v>204</v>
      </c>
      <c r="Q12" s="175">
        <v>204</v>
      </c>
      <c r="R12" s="175">
        <v>204</v>
      </c>
      <c r="S12" s="175">
        <v>204</v>
      </c>
      <c r="T12" s="624" t="s">
        <v>1895</v>
      </c>
      <c r="U12" s="49" t="s">
        <v>81</v>
      </c>
      <c r="V12" s="49" t="s">
        <v>1660</v>
      </c>
      <c r="W12" s="49" t="s">
        <v>2530</v>
      </c>
      <c r="X12" s="49" t="s">
        <v>2530</v>
      </c>
      <c r="Y12" s="48" t="s">
        <v>629</v>
      </c>
      <c r="Z12" s="624" t="s">
        <v>1895</v>
      </c>
      <c r="AA12" s="48" t="s">
        <v>2551</v>
      </c>
      <c r="AB12" s="176">
        <v>46267</v>
      </c>
      <c r="AC12" s="211">
        <v>46267</v>
      </c>
      <c r="AD12" s="317"/>
      <c r="AE12" s="211">
        <v>46269</v>
      </c>
      <c r="AF12" s="213" t="s">
        <v>2555</v>
      </c>
      <c r="AG12" s="159" t="s">
        <v>2545</v>
      </c>
      <c r="AH12" s="3" t="s">
        <v>2553</v>
      </c>
    </row>
    <row r="13" s="311" customFormat="1" ht="37.5" customHeight="1" spans="1:35">
      <c r="A13" s="486">
        <f t="shared" si="0"/>
        <v>10</v>
      </c>
      <c r="B13" s="487" t="s">
        <v>2536</v>
      </c>
      <c r="C13" s="146" t="s">
        <v>342</v>
      </c>
      <c r="D13" s="488" t="s">
        <v>2537</v>
      </c>
      <c r="E13" s="216" t="s">
        <v>2538</v>
      </c>
      <c r="F13" s="489">
        <v>46241</v>
      </c>
      <c r="G13" s="489">
        <v>46319</v>
      </c>
      <c r="H13" s="489">
        <v>46319</v>
      </c>
      <c r="I13" s="490">
        <v>46265</v>
      </c>
      <c r="J13" s="744">
        <f t="shared" si="2"/>
        <v>24000</v>
      </c>
      <c r="K13" s="727">
        <v>96</v>
      </c>
      <c r="L13" s="283">
        <v>3000</v>
      </c>
      <c r="M13" s="283">
        <v>3000</v>
      </c>
      <c r="N13" s="283">
        <v>3000</v>
      </c>
      <c r="O13" s="283">
        <v>3000</v>
      </c>
      <c r="P13" s="283">
        <v>3000</v>
      </c>
      <c r="Q13" s="283">
        <v>3000</v>
      </c>
      <c r="R13" s="283">
        <v>3000</v>
      </c>
      <c r="S13" s="283">
        <v>3000</v>
      </c>
      <c r="T13" s="745" t="s">
        <v>1895</v>
      </c>
      <c r="U13" s="96" t="s">
        <v>81</v>
      </c>
      <c r="V13" s="96" t="s">
        <v>1469</v>
      </c>
      <c r="W13" s="96" t="s">
        <v>2529</v>
      </c>
      <c r="X13" s="96" t="s">
        <v>2529</v>
      </c>
      <c r="Y13" s="183"/>
      <c r="Z13" s="729" t="s">
        <v>1895</v>
      </c>
      <c r="AA13" s="183" t="s">
        <v>2551</v>
      </c>
      <c r="AB13" s="280">
        <v>46319</v>
      </c>
      <c r="AC13" s="279"/>
      <c r="AD13" s="321"/>
      <c r="AE13" s="279"/>
      <c r="AF13" s="224" t="s">
        <v>2540</v>
      </c>
      <c r="AG13" s="159" t="s">
        <v>2545</v>
      </c>
      <c r="AH13" s="3" t="s">
        <v>2556</v>
      </c>
    </row>
    <row r="14" s="311" customFormat="1" ht="37.5" customHeight="1" spans="1:35">
      <c r="A14" s="215">
        <f t="shared" si="0"/>
        <v>11</v>
      </c>
      <c r="B14" s="487" t="s">
        <v>570</v>
      </c>
      <c r="C14" s="146" t="s">
        <v>342</v>
      </c>
      <c r="D14" s="488" t="s">
        <v>2557</v>
      </c>
      <c r="E14" s="216" t="s">
        <v>2558</v>
      </c>
      <c r="F14" s="489">
        <v>46248</v>
      </c>
      <c r="G14" s="489">
        <v>46324</v>
      </c>
      <c r="H14" s="489">
        <v>46324</v>
      </c>
      <c r="I14" s="490">
        <v>46261</v>
      </c>
      <c r="J14" s="744">
        <f t="shared" si="2"/>
        <v>864</v>
      </c>
      <c r="K14" s="727">
        <v>96</v>
      </c>
      <c r="L14" s="283">
        <v>108</v>
      </c>
      <c r="M14" s="283">
        <v>108</v>
      </c>
      <c r="N14" s="283">
        <v>108</v>
      </c>
      <c r="O14" s="283">
        <v>108</v>
      </c>
      <c r="P14" s="283">
        <v>108</v>
      </c>
      <c r="Q14" s="283">
        <v>108</v>
      </c>
      <c r="R14" s="283">
        <v>108</v>
      </c>
      <c r="S14" s="283">
        <v>108</v>
      </c>
      <c r="T14" s="745" t="s">
        <v>1895</v>
      </c>
      <c r="U14" s="96" t="s">
        <v>81</v>
      </c>
      <c r="V14" s="96" t="s">
        <v>2559</v>
      </c>
      <c r="W14" s="746" t="s">
        <v>2560</v>
      </c>
      <c r="X14" s="96" t="s">
        <v>1609</v>
      </c>
      <c r="Y14" s="183"/>
      <c r="Z14" s="729" t="s">
        <v>1895</v>
      </c>
      <c r="AA14" s="183" t="s">
        <v>2551</v>
      </c>
      <c r="AB14" s="280">
        <v>46324</v>
      </c>
      <c r="AC14" s="279"/>
      <c r="AD14" s="321"/>
      <c r="AE14" s="279"/>
      <c r="AF14" s="224" t="s">
        <v>2561</v>
      </c>
      <c r="AG14" s="159" t="s">
        <v>2545</v>
      </c>
      <c r="AH14" s="3" t="s">
        <v>2562</v>
      </c>
    </row>
    <row r="15" s="311" customFormat="1" ht="37.5" customHeight="1" spans="1:35">
      <c r="A15" s="215">
        <f t="shared" si="0"/>
        <v>12</v>
      </c>
      <c r="B15" s="487" t="s">
        <v>570</v>
      </c>
      <c r="C15" s="146" t="s">
        <v>342</v>
      </c>
      <c r="D15" s="488" t="s">
        <v>2557</v>
      </c>
      <c r="E15" s="216" t="s">
        <v>2558</v>
      </c>
      <c r="F15" s="489">
        <v>46248</v>
      </c>
      <c r="G15" s="489">
        <v>46324</v>
      </c>
      <c r="H15" s="489">
        <v>46324</v>
      </c>
      <c r="I15" s="490">
        <v>46261</v>
      </c>
      <c r="J15" s="744">
        <f t="shared" si="2"/>
        <v>1536</v>
      </c>
      <c r="K15" s="727">
        <v>96</v>
      </c>
      <c r="L15" s="283">
        <v>192</v>
      </c>
      <c r="M15" s="283">
        <v>192</v>
      </c>
      <c r="N15" s="283">
        <v>192</v>
      </c>
      <c r="O15" s="283">
        <v>192</v>
      </c>
      <c r="P15" s="283">
        <v>192</v>
      </c>
      <c r="Q15" s="283">
        <v>192</v>
      </c>
      <c r="R15" s="283">
        <v>192</v>
      </c>
      <c r="S15" s="283">
        <v>192</v>
      </c>
      <c r="T15" s="745" t="s">
        <v>1895</v>
      </c>
      <c r="U15" s="96" t="s">
        <v>81</v>
      </c>
      <c r="V15" s="96" t="s">
        <v>2559</v>
      </c>
      <c r="W15" s="746" t="s">
        <v>2560</v>
      </c>
      <c r="X15" s="96" t="s">
        <v>1609</v>
      </c>
      <c r="Y15" s="183"/>
      <c r="Z15" s="729" t="s">
        <v>1895</v>
      </c>
      <c r="AA15" s="183" t="s">
        <v>2551</v>
      </c>
      <c r="AB15" s="280">
        <v>46324</v>
      </c>
      <c r="AC15" s="279"/>
      <c r="AD15" s="321"/>
      <c r="AE15" s="279"/>
      <c r="AF15" s="224" t="s">
        <v>2563</v>
      </c>
      <c r="AG15" s="159" t="s">
        <v>2545</v>
      </c>
      <c r="AH15" s="3" t="s">
        <v>2562</v>
      </c>
    </row>
    <row r="16" s="3" customFormat="1" ht="30" customHeight="1" spans="1:35">
      <c r="A16" s="215">
        <f t="shared" si="0"/>
        <v>13</v>
      </c>
      <c r="B16" s="183"/>
      <c r="C16" s="96"/>
      <c r="D16" s="216"/>
      <c r="E16" s="216"/>
      <c r="F16" s="217"/>
      <c r="G16" s="217"/>
      <c r="H16" s="217"/>
      <c r="I16" s="218"/>
      <c r="J16" s="95"/>
      <c r="K16" s="95"/>
      <c r="L16" s="277"/>
      <c r="M16" s="277"/>
      <c r="N16" s="277"/>
      <c r="O16" s="277"/>
      <c r="P16" s="277"/>
      <c r="Q16" s="277"/>
      <c r="R16" s="277"/>
      <c r="S16" s="283"/>
      <c r="T16" s="278"/>
      <c r="U16" s="96"/>
      <c r="V16" s="279"/>
      <c r="W16" s="279"/>
      <c r="X16" s="279"/>
      <c r="Y16" s="183"/>
      <c r="Z16" s="183"/>
      <c r="AA16" s="183"/>
      <c r="AB16" s="280"/>
      <c r="AC16" s="222"/>
      <c r="AD16" s="97"/>
      <c r="AE16" s="97"/>
      <c r="AF16" s="224"/>
    </row>
    <row r="17" s="3" customFormat="1" ht="17.1" customHeight="1" spans="1:32">
      <c r="A17" s="93" t="s">
        <v>66</v>
      </c>
      <c r="B17" s="94"/>
      <c r="C17" s="94"/>
      <c r="D17" s="94"/>
      <c r="E17" s="94"/>
      <c r="F17" s="94"/>
      <c r="G17" s="94"/>
      <c r="H17" s="94"/>
      <c r="I17" s="94"/>
      <c r="J17" s="95">
        <f>SUM(J4:J16)</f>
        <v>125952</v>
      </c>
      <c r="K17" s="95"/>
      <c r="L17" s="95">
        <f t="shared" ref="L17:S17" si="3">SUM(L4:L16)</f>
        <v>16140</v>
      </c>
      <c r="M17" s="95">
        <f t="shared" si="3"/>
        <v>16140</v>
      </c>
      <c r="N17" s="95">
        <f t="shared" si="3"/>
        <v>16140</v>
      </c>
      <c r="O17" s="95">
        <f t="shared" si="3"/>
        <v>16140</v>
      </c>
      <c r="P17" s="95">
        <f t="shared" si="3"/>
        <v>16140</v>
      </c>
      <c r="Q17" s="95">
        <f t="shared" si="3"/>
        <v>16140</v>
      </c>
      <c r="R17" s="95">
        <f t="shared" si="3"/>
        <v>16140</v>
      </c>
      <c r="S17" s="95">
        <f t="shared" si="3"/>
        <v>16140</v>
      </c>
      <c r="T17" s="96"/>
      <c r="U17" s="96"/>
      <c r="V17" s="96"/>
      <c r="W17" s="96"/>
      <c r="X17" s="96"/>
      <c r="Y17" s="96"/>
      <c r="Z17" s="96"/>
      <c r="AA17" s="96"/>
      <c r="AB17" s="97"/>
      <c r="AC17" s="97"/>
      <c r="AD17" s="97"/>
      <c r="AE17" s="97"/>
      <c r="AF17" s="239"/>
    </row>
    <row r="18" s="4" customFormat="1" ht="17.1" customHeight="1" spans="1:32">
      <c r="A18" s="99"/>
      <c r="B18" s="100"/>
      <c r="C18" s="100"/>
      <c r="D18" s="100"/>
      <c r="E18" s="100"/>
      <c r="F18" s="100"/>
      <c r="G18" s="100"/>
      <c r="H18" s="100"/>
      <c r="I18" s="100"/>
      <c r="J18" s="100">
        <f>SUM(L18:S18)</f>
        <v>129120</v>
      </c>
      <c r="K18" s="100"/>
      <c r="L18" s="100">
        <f t="shared" ref="L18:S18" si="4">3000+2100+7344+396+3000+300</f>
        <v>16140</v>
      </c>
      <c r="M18" s="100">
        <f t="shared" si="4"/>
        <v>16140</v>
      </c>
      <c r="N18" s="100">
        <f t="shared" si="4"/>
        <v>16140</v>
      </c>
      <c r="O18" s="100">
        <f t="shared" si="4"/>
        <v>16140</v>
      </c>
      <c r="P18" s="100">
        <f t="shared" si="4"/>
        <v>16140</v>
      </c>
      <c r="Q18" s="100">
        <f t="shared" si="4"/>
        <v>16140</v>
      </c>
      <c r="R18" s="100">
        <f t="shared" si="4"/>
        <v>16140</v>
      </c>
      <c r="S18" s="100">
        <f t="shared" si="4"/>
        <v>16140</v>
      </c>
      <c r="T18" s="100"/>
      <c r="U18" s="100"/>
      <c r="V18" s="100"/>
      <c r="W18" s="100"/>
      <c r="X18" s="100"/>
      <c r="Y18" s="100"/>
      <c r="Z18" s="100"/>
      <c r="AA18" s="100"/>
      <c r="AB18" s="101"/>
      <c r="AC18" s="101"/>
      <c r="AD18" s="101"/>
      <c r="AE18" s="101"/>
      <c r="AF18" s="240"/>
    </row>
    <row r="19" s="4" customFormat="1" ht="17.1" customHeight="1" spans="1:32">
      <c r="A19" s="241" t="s">
        <v>67</v>
      </c>
      <c r="B19" s="242"/>
      <c r="C19" s="242"/>
      <c r="D19" s="242"/>
      <c r="E19" s="242"/>
      <c r="F19" s="242"/>
      <c r="G19" s="242"/>
      <c r="H19" s="242"/>
      <c r="I19" s="243"/>
      <c r="J19" s="244">
        <f>SUM(L19:S19)</f>
        <v>0</v>
      </c>
      <c r="K19" s="245"/>
      <c r="L19" s="106">
        <f t="shared" ref="L19:S19" si="5">L18-L17</f>
        <v>0</v>
      </c>
      <c r="M19" s="106">
        <f t="shared" si="5"/>
        <v>0</v>
      </c>
      <c r="N19" s="106">
        <f t="shared" si="5"/>
        <v>0</v>
      </c>
      <c r="O19" s="106">
        <f t="shared" si="5"/>
        <v>0</v>
      </c>
      <c r="P19" s="106">
        <f t="shared" si="5"/>
        <v>0</v>
      </c>
      <c r="Q19" s="106">
        <f t="shared" si="5"/>
        <v>0</v>
      </c>
      <c r="R19" s="106">
        <f t="shared" si="5"/>
        <v>0</v>
      </c>
      <c r="S19" s="106">
        <f t="shared" si="5"/>
        <v>0</v>
      </c>
      <c r="T19" s="107"/>
      <c r="U19" s="107"/>
      <c r="V19" s="107"/>
      <c r="W19" s="107"/>
      <c r="X19" s="107"/>
      <c r="Y19" s="107"/>
      <c r="Z19" s="107"/>
      <c r="AA19" s="107"/>
      <c r="AB19" s="108"/>
      <c r="AC19" s="108"/>
      <c r="AD19" s="108"/>
      <c r="AE19" s="108"/>
      <c r="AF19" s="246"/>
    </row>
    <row r="20" spans="1:32">
      <c r="B20" s="110" t="s">
        <v>68</v>
      </c>
      <c r="C20" s="110"/>
      <c r="D20" s="111"/>
      <c r="E20" s="111"/>
      <c r="F20" s="111"/>
      <c r="G20" s="111"/>
      <c r="H20" s="111" t="s">
        <v>377</v>
      </c>
      <c r="I20" s="111"/>
      <c r="J20" s="285"/>
    </row>
    <row r="23" spans="1:32">
      <c r="B23" s="286"/>
    </row>
    <row r="24" spans="1:32">
      <c r="B24" s="286"/>
    </row>
    <row r="25" spans="1:32">
      <c r="B25" s="286"/>
    </row>
    <row r="26" spans="1:32">
      <c r="B26" s="286"/>
    </row>
  </sheetData>
  <autoFilter xmlns:etc="http://www.wps.cn/officeDocument/2017/etCustomData" ref="A3:AI20" etc:filterBottomFollowUsedRange="0">
    <filterColumn colId="30">
      <filters blank="1"/>
    </filterColumn>
    <extLst/>
  </autoFilter>
  <mergeCells count="31">
    <mergeCell ref="A1:AA1"/>
    <mergeCell ref="AB1:AD1"/>
    <mergeCell ref="AE1:AF1"/>
    <mergeCell ref="L2:S2"/>
    <mergeCell ref="A17:I17"/>
    <mergeCell ref="A18:I18"/>
    <mergeCell ref="A19:I1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</mergeCells>
  <conditionalFormatting sqref="L19:S19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56" fitToHeight="2" orientation="landscape" horizontalDpi="1200" verticalDpi="1200"/>
  <headerFooter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I20"/>
  <sheetViews>
    <sheetView workbookViewId="0">
      <pane xSplit="11" ySplit="3" topLeftCell="O4" activePane="bottomRight" state="frozen"/>
      <selection/>
      <selection pane="topRight"/>
      <selection pane="bottomLeft"/>
      <selection pane="bottomRight" activeCell="R31" sqref="R31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4" width="11.625" customWidth="1"/>
    <col min="5" max="5" width="9.375" customWidth="1"/>
    <col min="6" max="9" width="5.375" customWidth="1"/>
    <col min="10" max="10" width="7.125" customWidth="1"/>
    <col min="11" max="11" width="5.125" customWidth="1"/>
    <col min="12" max="19" width="6.375" customWidth="1"/>
    <col min="20" max="20" width="8.625" customWidth="1"/>
    <col min="21" max="23" width="5.125" customWidth="1"/>
    <col min="24" max="24" width="5.625" customWidth="1"/>
    <col min="25" max="25" width="5.125" customWidth="1"/>
    <col min="26" max="26" width="8.375" customWidth="1"/>
    <col min="27" max="27" width="19.625" customWidth="1"/>
    <col min="28" max="28" width="8.625" style="114" customWidth="1"/>
    <col min="29" max="29" width="9.625" style="113" customWidth="1"/>
    <col min="30" max="30" width="7.125" style="113" customWidth="1"/>
    <col min="31" max="31" width="8.125" style="113" customWidth="1"/>
    <col min="32" max="32" width="16.125" style="194" customWidth="1"/>
    <col min="33" max="33" width="17.125" style="255" customWidth="1"/>
    <col min="34" max="34" width="6.375" customWidth="1"/>
  </cols>
  <sheetData>
    <row r="1" ht="35.1" customHeight="1" spans="1:35">
      <c r="A1" s="298" t="s">
        <v>2564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59" t="s">
        <v>1</v>
      </c>
      <c r="AC1" s="312"/>
      <c r="AD1" s="260"/>
      <c r="AE1" s="200">
        <f ca="1">TODAY()</f>
        <v>46277</v>
      </c>
      <c r="AF1" s="201"/>
    </row>
    <row r="2" s="190" customFormat="1" ht="21.95" customHeight="1" spans="1:35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7" t="s">
        <v>13</v>
      </c>
      <c r="M2" s="188"/>
      <c r="N2" s="188"/>
      <c r="O2" s="188"/>
      <c r="P2" s="188"/>
      <c r="Q2" s="188"/>
      <c r="R2" s="188"/>
      <c r="S2" s="188"/>
      <c r="T2" s="20" t="s">
        <v>14</v>
      </c>
      <c r="U2" s="22" t="s">
        <v>15</v>
      </c>
      <c r="V2" s="22" t="s">
        <v>16</v>
      </c>
      <c r="W2" s="22" t="s">
        <v>178</v>
      </c>
      <c r="X2" s="22" t="s">
        <v>18</v>
      </c>
      <c r="Y2" s="22" t="s">
        <v>19</v>
      </c>
      <c r="Z2" s="22" t="s">
        <v>20</v>
      </c>
      <c r="AA2" s="261" t="s">
        <v>21</v>
      </c>
      <c r="AB2" s="25" t="s">
        <v>22</v>
      </c>
      <c r="AC2" s="26" t="s">
        <v>23</v>
      </c>
      <c r="AD2" s="26" t="s">
        <v>24</v>
      </c>
      <c r="AE2" s="26" t="s">
        <v>25</v>
      </c>
      <c r="AF2" s="205" t="s">
        <v>26</v>
      </c>
      <c r="AG2" s="159"/>
    </row>
    <row r="3" s="190" customFormat="1" ht="41.25" customHeight="1" spans="1:35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4" t="s">
        <v>2247</v>
      </c>
      <c r="M3" s="292" t="s">
        <v>2565</v>
      </c>
      <c r="N3" s="264" t="s">
        <v>2248</v>
      </c>
      <c r="O3" s="292" t="s">
        <v>2566</v>
      </c>
      <c r="P3" s="264" t="s">
        <v>2567</v>
      </c>
      <c r="Q3" s="264" t="s">
        <v>2568</v>
      </c>
      <c r="R3" s="292" t="s">
        <v>2569</v>
      </c>
      <c r="S3" s="292" t="s">
        <v>2570</v>
      </c>
      <c r="T3" s="31"/>
      <c r="U3" s="32"/>
      <c r="V3" s="32"/>
      <c r="W3" s="32"/>
      <c r="X3" s="32"/>
      <c r="Y3" s="32"/>
      <c r="Z3" s="32"/>
      <c r="AA3" s="267"/>
      <c r="AB3" s="25"/>
      <c r="AC3" s="26"/>
      <c r="AD3" s="26"/>
      <c r="AE3" s="26"/>
      <c r="AF3" s="205"/>
      <c r="AG3" s="159" t="s">
        <v>65</v>
      </c>
      <c r="AH3" s="206"/>
      <c r="AI3" s="206" t="s">
        <v>2002</v>
      </c>
    </row>
    <row r="4" s="311" customFormat="1" ht="37.5" hidden="1" customHeight="1" spans="1:35">
      <c r="A4" s="208">
        <f t="shared" ref="A4:A9" si="0">ROW()-3</f>
        <v>1</v>
      </c>
      <c r="B4" s="48" t="s">
        <v>394</v>
      </c>
      <c r="C4" s="49" t="s">
        <v>342</v>
      </c>
      <c r="D4" s="50" t="s">
        <v>2493</v>
      </c>
      <c r="E4" s="50" t="s">
        <v>2494</v>
      </c>
      <c r="F4" s="52">
        <v>46063</v>
      </c>
      <c r="G4" s="52">
        <v>46142</v>
      </c>
      <c r="H4" s="52">
        <v>46142</v>
      </c>
      <c r="I4" s="53">
        <v>46120</v>
      </c>
      <c r="J4" s="327">
        <f t="shared" ref="J4:J9" si="1">SUM(L4:S4)</f>
        <v>7200</v>
      </c>
      <c r="K4" s="175">
        <v>96</v>
      </c>
      <c r="L4" s="175">
        <v>900</v>
      </c>
      <c r="M4" s="175">
        <v>900</v>
      </c>
      <c r="N4" s="175">
        <v>900</v>
      </c>
      <c r="O4" s="175">
        <v>900</v>
      </c>
      <c r="P4" s="175">
        <v>900</v>
      </c>
      <c r="Q4" s="175">
        <v>900</v>
      </c>
      <c r="R4" s="175">
        <v>900</v>
      </c>
      <c r="S4" s="175">
        <v>900</v>
      </c>
      <c r="T4" s="739" t="s">
        <v>2495</v>
      </c>
      <c r="U4" s="49" t="s">
        <v>81</v>
      </c>
      <c r="V4" s="305" t="s">
        <v>2496</v>
      </c>
      <c r="W4" s="305" t="s">
        <v>1137</v>
      </c>
      <c r="X4" s="48" t="s">
        <v>1731</v>
      </c>
      <c r="Y4" s="48" t="s">
        <v>2497</v>
      </c>
      <c r="Z4" s="316" t="s">
        <v>2495</v>
      </c>
      <c r="AA4" s="48" t="s">
        <v>2550</v>
      </c>
      <c r="AB4" s="176">
        <v>46142</v>
      </c>
      <c r="AC4" s="211" t="s">
        <v>2499</v>
      </c>
      <c r="AD4" s="317"/>
      <c r="AE4" s="211">
        <v>46160</v>
      </c>
      <c r="AF4" s="213" t="s">
        <v>2500</v>
      </c>
      <c r="AG4" s="159" t="s">
        <v>2571</v>
      </c>
    </row>
    <row r="5" s="311" customFormat="1" ht="37.5" hidden="1" customHeight="1" spans="1:35">
      <c r="A5" s="208">
        <f t="shared" si="0"/>
        <v>2</v>
      </c>
      <c r="B5" s="48" t="s">
        <v>394</v>
      </c>
      <c r="C5" s="49" t="s">
        <v>342</v>
      </c>
      <c r="D5" s="50" t="s">
        <v>2502</v>
      </c>
      <c r="E5" s="50" t="s">
        <v>2503</v>
      </c>
      <c r="F5" s="52">
        <v>46112</v>
      </c>
      <c r="G5" s="52">
        <v>46179</v>
      </c>
      <c r="H5" s="52">
        <v>46179</v>
      </c>
      <c r="I5" s="53">
        <v>46133</v>
      </c>
      <c r="J5" s="327">
        <f t="shared" si="1"/>
        <v>4128</v>
      </c>
      <c r="K5" s="175">
        <v>96</v>
      </c>
      <c r="L5" s="175">
        <v>516</v>
      </c>
      <c r="M5" s="175">
        <v>516</v>
      </c>
      <c r="N5" s="175">
        <v>516</v>
      </c>
      <c r="O5" s="175">
        <v>516</v>
      </c>
      <c r="P5" s="175">
        <v>516</v>
      </c>
      <c r="Q5" s="175">
        <v>516</v>
      </c>
      <c r="R5" s="175">
        <v>516</v>
      </c>
      <c r="S5" s="175">
        <v>516</v>
      </c>
      <c r="T5" s="316" t="s">
        <v>2147</v>
      </c>
      <c r="U5" s="49" t="s">
        <v>81</v>
      </c>
      <c r="V5" s="305" t="s">
        <v>514</v>
      </c>
      <c r="W5" s="305" t="s">
        <v>2504</v>
      </c>
      <c r="X5" s="48" t="s">
        <v>1744</v>
      </c>
      <c r="Y5" s="48" t="s">
        <v>514</v>
      </c>
      <c r="Z5" s="316" t="s">
        <v>2147</v>
      </c>
      <c r="AA5" s="48" t="s">
        <v>2550</v>
      </c>
      <c r="AB5" s="176">
        <v>46179</v>
      </c>
      <c r="AC5" s="317">
        <v>46182</v>
      </c>
      <c r="AD5" s="317"/>
      <c r="AE5" s="211">
        <v>46188</v>
      </c>
      <c r="AF5" s="213" t="s">
        <v>2505</v>
      </c>
      <c r="AG5" s="159" t="s">
        <v>2571</v>
      </c>
    </row>
    <row r="6" s="311" customFormat="1" ht="37.5" hidden="1" customHeight="1" spans="1:35">
      <c r="A6" s="208">
        <f t="shared" si="0"/>
        <v>3</v>
      </c>
      <c r="B6" s="48" t="s">
        <v>383</v>
      </c>
      <c r="C6" s="49" t="s">
        <v>114</v>
      </c>
      <c r="D6" s="50" t="s">
        <v>753</v>
      </c>
      <c r="E6" s="51" t="s">
        <v>513</v>
      </c>
      <c r="F6" s="52">
        <v>46107</v>
      </c>
      <c r="G6" s="52">
        <v>46191</v>
      </c>
      <c r="H6" s="52">
        <v>46191</v>
      </c>
      <c r="I6" s="53">
        <v>46135</v>
      </c>
      <c r="J6" s="327">
        <f t="shared" si="1"/>
        <v>960</v>
      </c>
      <c r="K6" s="175">
        <v>96</v>
      </c>
      <c r="L6" s="175">
        <v>120</v>
      </c>
      <c r="M6" s="175">
        <v>120</v>
      </c>
      <c r="N6" s="175">
        <v>120</v>
      </c>
      <c r="O6" s="175">
        <v>120</v>
      </c>
      <c r="P6" s="175">
        <v>120</v>
      </c>
      <c r="Q6" s="175">
        <v>120</v>
      </c>
      <c r="R6" s="175">
        <v>120</v>
      </c>
      <c r="S6" s="175">
        <v>120</v>
      </c>
      <c r="T6" s="316" t="s">
        <v>2147</v>
      </c>
      <c r="U6" s="49" t="s">
        <v>81</v>
      </c>
      <c r="V6" s="305" t="s">
        <v>1393</v>
      </c>
      <c r="W6" s="49" t="s">
        <v>2506</v>
      </c>
      <c r="X6" s="48" t="s">
        <v>1744</v>
      </c>
      <c r="Y6" s="48" t="s">
        <v>514</v>
      </c>
      <c r="Z6" s="316" t="s">
        <v>2147</v>
      </c>
      <c r="AA6" s="48" t="s">
        <v>2546</v>
      </c>
      <c r="AB6" s="176">
        <v>46191</v>
      </c>
      <c r="AC6" s="211">
        <v>46190</v>
      </c>
      <c r="AD6" s="317"/>
      <c r="AE6" s="211">
        <v>46207</v>
      </c>
      <c r="AF6" s="213" t="s">
        <v>2572</v>
      </c>
      <c r="AG6" s="159" t="s">
        <v>2571</v>
      </c>
    </row>
    <row r="7" s="311" customFormat="1" ht="37.5" hidden="1" customHeight="1" spans="1:35">
      <c r="A7" s="208">
        <f t="shared" si="0"/>
        <v>4</v>
      </c>
      <c r="B7" s="48" t="s">
        <v>383</v>
      </c>
      <c r="C7" s="49" t="s">
        <v>114</v>
      </c>
      <c r="D7" s="712" t="s">
        <v>559</v>
      </c>
      <c r="E7" s="50" t="s">
        <v>560</v>
      </c>
      <c r="F7" s="52">
        <v>46107</v>
      </c>
      <c r="G7" s="52">
        <v>46219</v>
      </c>
      <c r="H7" s="52">
        <v>46219</v>
      </c>
      <c r="I7" s="53">
        <v>46169</v>
      </c>
      <c r="J7" s="327">
        <f t="shared" si="1"/>
        <v>960</v>
      </c>
      <c r="K7" s="175">
        <v>96</v>
      </c>
      <c r="L7" s="175">
        <v>120</v>
      </c>
      <c r="M7" s="175">
        <v>120</v>
      </c>
      <c r="N7" s="175">
        <v>120</v>
      </c>
      <c r="O7" s="175">
        <v>120</v>
      </c>
      <c r="P7" s="175">
        <v>120</v>
      </c>
      <c r="Q7" s="175">
        <v>120</v>
      </c>
      <c r="R7" s="175">
        <v>120</v>
      </c>
      <c r="S7" s="175">
        <v>120</v>
      </c>
      <c r="T7" s="624" t="s">
        <v>1874</v>
      </c>
      <c r="U7" s="49" t="s">
        <v>81</v>
      </c>
      <c r="V7" s="49" t="s">
        <v>168</v>
      </c>
      <c r="W7" s="49" t="s">
        <v>2506</v>
      </c>
      <c r="X7" s="49" t="s">
        <v>1876</v>
      </c>
      <c r="Y7" s="48" t="s">
        <v>561</v>
      </c>
      <c r="Z7" s="624" t="s">
        <v>1874</v>
      </c>
      <c r="AA7" s="48" t="s">
        <v>2548</v>
      </c>
      <c r="AB7" s="176">
        <v>46219</v>
      </c>
      <c r="AC7" s="211">
        <v>46218</v>
      </c>
      <c r="AD7" s="317"/>
      <c r="AE7" s="211">
        <v>46247</v>
      </c>
      <c r="AF7" s="213" t="s">
        <v>2573</v>
      </c>
      <c r="AG7" s="159" t="s">
        <v>2571</v>
      </c>
    </row>
    <row r="8" s="311" customFormat="1" ht="37.5" hidden="1" customHeight="1" spans="1:35">
      <c r="A8" s="208">
        <f t="shared" si="0"/>
        <v>5</v>
      </c>
      <c r="B8" s="48" t="s">
        <v>2511</v>
      </c>
      <c r="C8" s="49" t="s">
        <v>342</v>
      </c>
      <c r="D8" s="50" t="s">
        <v>2512</v>
      </c>
      <c r="E8" s="50" t="s">
        <v>2513</v>
      </c>
      <c r="F8" s="52">
        <v>46112</v>
      </c>
      <c r="G8" s="52">
        <v>46235</v>
      </c>
      <c r="H8" s="52">
        <v>46235</v>
      </c>
      <c r="I8" s="53">
        <v>46156</v>
      </c>
      <c r="J8" s="327">
        <f t="shared" si="1"/>
        <v>11136</v>
      </c>
      <c r="K8" s="175">
        <v>96</v>
      </c>
      <c r="L8" s="175">
        <v>1392</v>
      </c>
      <c r="M8" s="175">
        <v>1392</v>
      </c>
      <c r="N8" s="175">
        <v>1392</v>
      </c>
      <c r="O8" s="175">
        <v>1392</v>
      </c>
      <c r="P8" s="175">
        <v>1392</v>
      </c>
      <c r="Q8" s="175">
        <v>1392</v>
      </c>
      <c r="R8" s="175">
        <v>1392</v>
      </c>
      <c r="S8" s="175">
        <v>1392</v>
      </c>
      <c r="T8" s="624" t="s">
        <v>1874</v>
      </c>
      <c r="U8" s="49" t="s">
        <v>81</v>
      </c>
      <c r="V8" s="49" t="s">
        <v>2514</v>
      </c>
      <c r="W8" s="49" t="s">
        <v>2515</v>
      </c>
      <c r="X8" s="49" t="s">
        <v>1602</v>
      </c>
      <c r="Y8" s="48" t="s">
        <v>1227</v>
      </c>
      <c r="Z8" s="624" t="s">
        <v>1874</v>
      </c>
      <c r="AA8" s="48" t="s">
        <v>2550</v>
      </c>
      <c r="AB8" s="176">
        <v>46235</v>
      </c>
      <c r="AC8" s="211">
        <v>46239</v>
      </c>
      <c r="AD8" s="317"/>
      <c r="AE8" s="211">
        <v>46275</v>
      </c>
      <c r="AF8" s="213" t="s">
        <v>2526</v>
      </c>
      <c r="AG8" s="159" t="s">
        <v>2571</v>
      </c>
    </row>
    <row r="9" s="311" customFormat="1" ht="37.5" customHeight="1" spans="1:35">
      <c r="A9" s="208">
        <f t="shared" si="0"/>
        <v>6</v>
      </c>
      <c r="B9" s="48" t="s">
        <v>2511</v>
      </c>
      <c r="C9" s="49" t="s">
        <v>342</v>
      </c>
      <c r="D9" s="50" t="s">
        <v>2516</v>
      </c>
      <c r="E9" s="50" t="s">
        <v>2517</v>
      </c>
      <c r="F9" s="52">
        <v>46112</v>
      </c>
      <c r="G9" s="52">
        <v>46269</v>
      </c>
      <c r="H9" s="52">
        <v>46269</v>
      </c>
      <c r="I9" s="53">
        <v>46209</v>
      </c>
      <c r="J9" s="327">
        <f t="shared" si="1"/>
        <v>5472</v>
      </c>
      <c r="K9" s="175">
        <v>96</v>
      </c>
      <c r="L9" s="175">
        <v>684</v>
      </c>
      <c r="M9" s="175">
        <v>684</v>
      </c>
      <c r="N9" s="175">
        <v>684</v>
      </c>
      <c r="O9" s="175">
        <v>684</v>
      </c>
      <c r="P9" s="175">
        <v>684</v>
      </c>
      <c r="Q9" s="175">
        <v>684</v>
      </c>
      <c r="R9" s="175">
        <v>684</v>
      </c>
      <c r="S9" s="175">
        <v>684</v>
      </c>
      <c r="T9" s="624" t="s">
        <v>1895</v>
      </c>
      <c r="U9" s="49" t="s">
        <v>81</v>
      </c>
      <c r="V9" s="49" t="s">
        <v>1208</v>
      </c>
      <c r="W9" s="49" t="s">
        <v>2518</v>
      </c>
      <c r="X9" s="49" t="s">
        <v>1903</v>
      </c>
      <c r="Y9" s="48" t="s">
        <v>629</v>
      </c>
      <c r="Z9" s="624" t="s">
        <v>1895</v>
      </c>
      <c r="AA9" s="48" t="s">
        <v>2550</v>
      </c>
      <c r="AB9" s="176">
        <v>46269</v>
      </c>
      <c r="AC9" s="211">
        <v>46267</v>
      </c>
      <c r="AD9" s="308"/>
      <c r="AE9" s="211"/>
      <c r="AF9" s="213" t="s">
        <v>2526</v>
      </c>
      <c r="AG9" s="159" t="s">
        <v>2571</v>
      </c>
    </row>
    <row r="10" s="3" customFormat="1" ht="27" customHeight="1" spans="1:35">
      <c r="A10" s="215"/>
      <c r="B10" s="183"/>
      <c r="C10" s="96"/>
      <c r="D10" s="216"/>
      <c r="E10" s="216"/>
      <c r="F10" s="217"/>
      <c r="G10" s="217"/>
      <c r="H10" s="217"/>
      <c r="I10" s="218"/>
      <c r="J10" s="95"/>
      <c r="K10" s="95"/>
      <c r="L10" s="277"/>
      <c r="M10" s="277"/>
      <c r="N10" s="277"/>
      <c r="O10" s="277"/>
      <c r="P10" s="277"/>
      <c r="Q10" s="277"/>
      <c r="R10" s="277"/>
      <c r="S10" s="283"/>
      <c r="T10" s="278"/>
      <c r="U10" s="96"/>
      <c r="V10" s="279"/>
      <c r="W10" s="279"/>
      <c r="X10" s="279"/>
      <c r="Y10" s="183"/>
      <c r="Z10" s="183"/>
      <c r="AA10" s="183"/>
      <c r="AB10" s="280"/>
      <c r="AC10" s="222"/>
      <c r="AD10" s="97"/>
      <c r="AE10" s="97"/>
      <c r="AF10" s="224"/>
    </row>
    <row r="11" s="3" customFormat="1" ht="17.1" customHeight="1" spans="1:35">
      <c r="A11" s="93" t="s">
        <v>66</v>
      </c>
      <c r="B11" s="94"/>
      <c r="C11" s="94"/>
      <c r="D11" s="94"/>
      <c r="E11" s="94"/>
      <c r="F11" s="94"/>
      <c r="G11" s="94"/>
      <c r="H11" s="94"/>
      <c r="I11" s="94"/>
      <c r="J11" s="95">
        <f>SUM(J4:J10)</f>
        <v>29856</v>
      </c>
      <c r="K11" s="95"/>
      <c r="L11" s="95">
        <f t="shared" ref="L11:S11" si="2">SUM(L4:L10)</f>
        <v>3732</v>
      </c>
      <c r="M11" s="95">
        <f t="shared" si="2"/>
        <v>3732</v>
      </c>
      <c r="N11" s="95">
        <f t="shared" si="2"/>
        <v>3732</v>
      </c>
      <c r="O11" s="95">
        <f t="shared" si="2"/>
        <v>3732</v>
      </c>
      <c r="P11" s="95">
        <f t="shared" si="2"/>
        <v>3732</v>
      </c>
      <c r="Q11" s="95">
        <f t="shared" si="2"/>
        <v>3732</v>
      </c>
      <c r="R11" s="95">
        <f t="shared" si="2"/>
        <v>3732</v>
      </c>
      <c r="S11" s="95">
        <f t="shared" si="2"/>
        <v>3732</v>
      </c>
      <c r="T11" s="96"/>
      <c r="U11" s="96"/>
      <c r="V11" s="96"/>
      <c r="W11" s="96"/>
      <c r="X11" s="96"/>
      <c r="Y11" s="96"/>
      <c r="Z11" s="96"/>
      <c r="AA11" s="96"/>
      <c r="AB11" s="97"/>
      <c r="AC11" s="97"/>
      <c r="AD11" s="97"/>
      <c r="AE11" s="97"/>
      <c r="AF11" s="239"/>
    </row>
    <row r="12" s="4" customFormat="1" ht="17.1" customHeight="1" spans="1:35">
      <c r="A12" s="99"/>
      <c r="B12" s="100"/>
      <c r="C12" s="100"/>
      <c r="D12" s="100"/>
      <c r="E12" s="100"/>
      <c r="F12" s="100"/>
      <c r="G12" s="100"/>
      <c r="H12" s="100"/>
      <c r="I12" s="100"/>
      <c r="J12" s="100">
        <f>SUM(L12:S12)</f>
        <v>29856</v>
      </c>
      <c r="K12" s="100"/>
      <c r="L12" s="100">
        <f>900+756+2076</f>
        <v>3732</v>
      </c>
      <c r="M12" s="100">
        <f t="shared" ref="M12:S12" si="3">900+756+2076</f>
        <v>3732</v>
      </c>
      <c r="N12" s="100">
        <f t="shared" si="3"/>
        <v>3732</v>
      </c>
      <c r="O12" s="100">
        <f t="shared" si="3"/>
        <v>3732</v>
      </c>
      <c r="P12" s="100">
        <f t="shared" si="3"/>
        <v>3732</v>
      </c>
      <c r="Q12" s="100">
        <f t="shared" si="3"/>
        <v>3732</v>
      </c>
      <c r="R12" s="100">
        <f t="shared" si="3"/>
        <v>3732</v>
      </c>
      <c r="S12" s="100">
        <f t="shared" si="3"/>
        <v>3732</v>
      </c>
      <c r="T12" s="100"/>
      <c r="U12" s="100"/>
      <c r="V12" s="100"/>
      <c r="W12" s="100"/>
      <c r="X12" s="100"/>
      <c r="Y12" s="100"/>
      <c r="Z12" s="100"/>
      <c r="AA12" s="100"/>
      <c r="AB12" s="101"/>
      <c r="AC12" s="101"/>
      <c r="AD12" s="101"/>
      <c r="AE12" s="101"/>
      <c r="AF12" s="240"/>
    </row>
    <row r="13" s="4" customFormat="1" ht="17.1" customHeight="1" spans="1:35">
      <c r="A13" s="241" t="s">
        <v>67</v>
      </c>
      <c r="B13" s="242"/>
      <c r="C13" s="242"/>
      <c r="D13" s="242"/>
      <c r="E13" s="242"/>
      <c r="F13" s="242"/>
      <c r="G13" s="242"/>
      <c r="H13" s="242"/>
      <c r="I13" s="243"/>
      <c r="J13" s="244">
        <f>SUM(L13:S13)</f>
        <v>0</v>
      </c>
      <c r="K13" s="245"/>
      <c r="L13" s="106">
        <f t="shared" ref="L13:S13" si="4">L12-L11</f>
        <v>0</v>
      </c>
      <c r="M13" s="106">
        <f t="shared" si="4"/>
        <v>0</v>
      </c>
      <c r="N13" s="106">
        <f t="shared" si="4"/>
        <v>0</v>
      </c>
      <c r="O13" s="106">
        <f t="shared" si="4"/>
        <v>0</v>
      </c>
      <c r="P13" s="106">
        <f t="shared" si="4"/>
        <v>0</v>
      </c>
      <c r="Q13" s="106">
        <f t="shared" si="4"/>
        <v>0</v>
      </c>
      <c r="R13" s="106">
        <f t="shared" si="4"/>
        <v>0</v>
      </c>
      <c r="S13" s="106">
        <f t="shared" si="4"/>
        <v>0</v>
      </c>
      <c r="T13" s="107"/>
      <c r="U13" s="107"/>
      <c r="V13" s="107"/>
      <c r="W13" s="107"/>
      <c r="X13" s="107"/>
      <c r="Y13" s="107"/>
      <c r="Z13" s="107"/>
      <c r="AA13" s="107"/>
      <c r="AB13" s="108"/>
      <c r="AC13" s="108"/>
      <c r="AD13" s="108"/>
      <c r="AE13" s="108"/>
      <c r="AF13" s="246"/>
    </row>
    <row r="14" spans="1:35">
      <c r="B14" s="110" t="s">
        <v>68</v>
      </c>
      <c r="C14" s="110"/>
      <c r="D14" s="111"/>
      <c r="E14" s="111"/>
      <c r="F14" s="111"/>
      <c r="G14" s="111"/>
      <c r="H14" s="111" t="s">
        <v>377</v>
      </c>
      <c r="I14" s="111"/>
      <c r="J14" s="285"/>
    </row>
    <row r="17" spans="2:2">
      <c r="B17" s="286"/>
    </row>
    <row r="18" spans="2:2">
      <c r="B18" s="286"/>
    </row>
    <row r="19" spans="2:2">
      <c r="B19" s="286"/>
    </row>
    <row r="20" spans="2:2">
      <c r="B20" s="286"/>
    </row>
  </sheetData>
  <autoFilter xmlns:etc="http://www.wps.cn/officeDocument/2017/etCustomData" ref="A3:AI9" etc:filterBottomFollowUsedRange="0">
    <filterColumn colId="30">
      <filters blank="1"/>
    </filterColumn>
    <extLst/>
  </autoFilter>
  <mergeCells count="31">
    <mergeCell ref="A1:AA1"/>
    <mergeCell ref="AB1:AD1"/>
    <mergeCell ref="AE1:AF1"/>
    <mergeCell ref="L2:S2"/>
    <mergeCell ref="A11:I11"/>
    <mergeCell ref="A12:I12"/>
    <mergeCell ref="A13:I1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</mergeCells>
  <conditionalFormatting sqref="L13:S13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56" fitToHeight="2" orientation="landscape" horizontalDpi="1200" verticalDpi="1200"/>
  <headerFooter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99FF"/>
  </sheetPr>
  <dimension ref="A1:Y219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P180" sqref="P179:P180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4" width="11.625" customWidth="1"/>
    <col min="5" max="5" width="9.25" customWidth="1"/>
    <col min="6" max="9" width="5.875" customWidth="1"/>
    <col min="10" max="10" width="7.125" customWidth="1"/>
    <col min="11" max="11" width="5.125" customWidth="1"/>
    <col min="12" max="12" width="8.75" customWidth="1"/>
    <col min="13" max="15" width="6.75" customWidth="1"/>
    <col min="16" max="16" width="7.5" customWidth="1"/>
    <col min="17" max="17" width="7.75" customWidth="1"/>
    <col min="18" max="18" width="17" customWidth="1"/>
    <col min="19" max="19" width="8.625" style="114" customWidth="1"/>
    <col min="20" max="20" width="9.625" style="113" customWidth="1"/>
    <col min="21" max="21" width="7.125" style="113" customWidth="1"/>
    <col min="22" max="22" width="10.125" style="113" customWidth="1"/>
    <col min="23" max="23" width="12.5" style="194" customWidth="1"/>
    <col min="24" max="24" width="17.125" style="255" customWidth="1"/>
    <col min="25" max="25" width="19.625" customWidth="1"/>
  </cols>
  <sheetData>
    <row r="1" ht="35.1" customHeight="1" spans="1:25">
      <c r="A1" s="298" t="s">
        <v>2574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59" t="s">
        <v>1</v>
      </c>
      <c r="T1" s="312"/>
      <c r="U1" s="260"/>
      <c r="V1" s="200">
        <f ca="1">TODAY()</f>
        <v>46277</v>
      </c>
      <c r="W1" s="201"/>
    </row>
    <row r="2" s="190" customFormat="1" ht="21.95" customHeight="1" spans="1:25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22" t="s">
        <v>178</v>
      </c>
      <c r="R2" s="261" t="s">
        <v>21</v>
      </c>
      <c r="S2" s="25" t="s">
        <v>22</v>
      </c>
      <c r="T2" s="26" t="s">
        <v>23</v>
      </c>
      <c r="U2" s="26" t="s">
        <v>24</v>
      </c>
      <c r="V2" s="26" t="s">
        <v>25</v>
      </c>
      <c r="W2" s="205" t="s">
        <v>26</v>
      </c>
      <c r="X2" s="159"/>
    </row>
    <row r="3" s="190" customFormat="1" ht="48" customHeight="1" spans="1:25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4" t="s">
        <v>2575</v>
      </c>
      <c r="M3" s="264" t="s">
        <v>2576</v>
      </c>
      <c r="N3" s="264" t="s">
        <v>1561</v>
      </c>
      <c r="O3" s="264" t="s">
        <v>2577</v>
      </c>
      <c r="P3" s="264" t="s">
        <v>2578</v>
      </c>
      <c r="Q3" s="32"/>
      <c r="R3" s="267"/>
      <c r="S3" s="25"/>
      <c r="T3" s="26"/>
      <c r="U3" s="26"/>
      <c r="V3" s="26"/>
      <c r="W3" s="205"/>
      <c r="X3" s="159" t="s">
        <v>65</v>
      </c>
      <c r="Y3" s="702" t="s">
        <v>2579</v>
      </c>
    </row>
    <row r="4" s="3" customFormat="1" ht="25.5" hidden="1" customHeight="1" spans="1:25">
      <c r="A4" s="208">
        <f t="shared" ref="A4:A11" si="0">ROW()-3</f>
        <v>1</v>
      </c>
      <c r="B4" s="48" t="s">
        <v>2580</v>
      </c>
      <c r="C4" s="49" t="s">
        <v>124</v>
      </c>
      <c r="D4" s="50" t="s">
        <v>2581</v>
      </c>
      <c r="E4" s="50" t="s">
        <v>2582</v>
      </c>
      <c r="F4" s="52">
        <v>46063</v>
      </c>
      <c r="G4" s="52">
        <v>46105</v>
      </c>
      <c r="H4" s="52">
        <v>46105</v>
      </c>
      <c r="I4" s="53">
        <v>46101</v>
      </c>
      <c r="J4" s="175">
        <f>SUM(L4:N4)</f>
        <v>608</v>
      </c>
      <c r="K4" s="175">
        <v>1</v>
      </c>
      <c r="L4" s="175"/>
      <c r="M4" s="175">
        <v>608</v>
      </c>
      <c r="N4" s="703"/>
      <c r="O4" s="175"/>
      <c r="P4" s="704"/>
      <c r="Q4" s="704" t="s">
        <v>2583</v>
      </c>
      <c r="R4" s="48" t="s">
        <v>2584</v>
      </c>
      <c r="S4" s="176">
        <v>46105</v>
      </c>
      <c r="T4" s="211">
        <v>46101</v>
      </c>
      <c r="U4" s="176"/>
      <c r="V4" s="176">
        <v>46113</v>
      </c>
      <c r="W4" s="213" t="s">
        <v>2585</v>
      </c>
      <c r="X4" s="159" t="s">
        <v>2586</v>
      </c>
    </row>
    <row r="5" s="3" customFormat="1" ht="25.5" hidden="1" customHeight="1" spans="1:25">
      <c r="A5" s="208">
        <f t="shared" si="0"/>
        <v>2</v>
      </c>
      <c r="B5" s="48" t="s">
        <v>2580</v>
      </c>
      <c r="C5" s="49" t="s">
        <v>124</v>
      </c>
      <c r="D5" s="50" t="s">
        <v>2587</v>
      </c>
      <c r="E5" s="50" t="s">
        <v>2588</v>
      </c>
      <c r="F5" s="52">
        <v>46063</v>
      </c>
      <c r="G5" s="52">
        <v>46105</v>
      </c>
      <c r="H5" s="52">
        <v>46105</v>
      </c>
      <c r="I5" s="53">
        <v>46101</v>
      </c>
      <c r="J5" s="175">
        <f>SUM(L5:N5)</f>
        <v>1337</v>
      </c>
      <c r="K5" s="175">
        <v>1</v>
      </c>
      <c r="L5" s="175"/>
      <c r="M5" s="175">
        <v>1337</v>
      </c>
      <c r="N5" s="703"/>
      <c r="O5" s="175"/>
      <c r="P5" s="705"/>
      <c r="Q5" s="705" t="s">
        <v>2589</v>
      </c>
      <c r="R5" s="48" t="s">
        <v>2584</v>
      </c>
      <c r="S5" s="176">
        <v>46105</v>
      </c>
      <c r="T5" s="211">
        <v>46101</v>
      </c>
      <c r="U5" s="176"/>
      <c r="V5" s="176">
        <v>46113</v>
      </c>
      <c r="W5" s="213" t="s">
        <v>2590</v>
      </c>
      <c r="X5" s="159" t="s">
        <v>2586</v>
      </c>
    </row>
    <row r="6" s="311" customFormat="1" ht="25.5" hidden="1" customHeight="1" spans="1:25">
      <c r="A6" s="208">
        <f t="shared" si="0"/>
        <v>3</v>
      </c>
      <c r="B6" s="48" t="s">
        <v>2591</v>
      </c>
      <c r="C6" s="49" t="s">
        <v>360</v>
      </c>
      <c r="D6" s="51" t="s">
        <v>2592</v>
      </c>
      <c r="E6" s="51" t="s">
        <v>2593</v>
      </c>
      <c r="F6" s="52">
        <v>46062</v>
      </c>
      <c r="G6" s="52">
        <v>46113</v>
      </c>
      <c r="H6" s="52">
        <v>46113</v>
      </c>
      <c r="I6" s="53">
        <v>46090</v>
      </c>
      <c r="J6" s="327">
        <v>2460</v>
      </c>
      <c r="K6" s="175">
        <v>1</v>
      </c>
      <c r="L6" s="175"/>
      <c r="M6" s="175">
        <v>2460</v>
      </c>
      <c r="N6" s="703"/>
      <c r="O6" s="175"/>
      <c r="P6" s="704"/>
      <c r="Q6" s="704" t="s">
        <v>2594</v>
      </c>
      <c r="R6" s="48" t="s">
        <v>2584</v>
      </c>
      <c r="S6" s="176">
        <v>46113</v>
      </c>
      <c r="T6" s="211">
        <v>46107</v>
      </c>
      <c r="U6" s="211"/>
      <c r="V6" s="211">
        <v>46113</v>
      </c>
      <c r="W6" s="213" t="s">
        <v>2595</v>
      </c>
      <c r="X6" s="159" t="s">
        <v>2596</v>
      </c>
    </row>
    <row r="7" s="311" customFormat="1" ht="25.5" hidden="1" customHeight="1" spans="1:25">
      <c r="A7" s="208">
        <f t="shared" si="0"/>
        <v>4</v>
      </c>
      <c r="B7" s="48" t="s">
        <v>2597</v>
      </c>
      <c r="C7" s="49" t="s">
        <v>342</v>
      </c>
      <c r="D7" s="50" t="s">
        <v>2493</v>
      </c>
      <c r="E7" s="51" t="s">
        <v>2598</v>
      </c>
      <c r="F7" s="52">
        <v>46063</v>
      </c>
      <c r="G7" s="52">
        <v>46118</v>
      </c>
      <c r="H7" s="52">
        <v>46118</v>
      </c>
      <c r="I7" s="53">
        <v>46100</v>
      </c>
      <c r="J7" s="175">
        <f>SUM(L7:N7)</f>
        <v>1500</v>
      </c>
      <c r="K7" s="175">
        <v>1</v>
      </c>
      <c r="L7" s="175"/>
      <c r="M7" s="175">
        <v>1500</v>
      </c>
      <c r="N7" s="703"/>
      <c r="O7" s="175"/>
      <c r="P7" s="704"/>
      <c r="Q7" s="704" t="s">
        <v>2599</v>
      </c>
      <c r="R7" s="48" t="s">
        <v>2584</v>
      </c>
      <c r="S7" s="176">
        <v>46118</v>
      </c>
      <c r="T7" s="211">
        <v>46114</v>
      </c>
      <c r="U7" s="211"/>
      <c r="V7" s="211">
        <v>46113</v>
      </c>
      <c r="W7" s="213" t="s">
        <v>2500</v>
      </c>
      <c r="X7" s="159" t="s">
        <v>2600</v>
      </c>
    </row>
    <row r="8" s="3" customFormat="1" ht="25.5" hidden="1" customHeight="1" spans="1:25">
      <c r="A8" s="208">
        <f t="shared" si="0"/>
        <v>5</v>
      </c>
      <c r="B8" s="48" t="s">
        <v>2580</v>
      </c>
      <c r="C8" s="49" t="s">
        <v>124</v>
      </c>
      <c r="D8" s="50" t="s">
        <v>2601</v>
      </c>
      <c r="E8" s="50" t="s">
        <v>2602</v>
      </c>
      <c r="F8" s="52">
        <v>46063</v>
      </c>
      <c r="G8" s="52">
        <v>46119</v>
      </c>
      <c r="H8" s="52">
        <v>46119</v>
      </c>
      <c r="I8" s="53">
        <v>46127</v>
      </c>
      <c r="J8" s="175">
        <f>SUM(L8:N8)</f>
        <v>500</v>
      </c>
      <c r="K8" s="175">
        <v>1</v>
      </c>
      <c r="L8" s="175"/>
      <c r="M8" s="175">
        <v>500</v>
      </c>
      <c r="N8" s="703"/>
      <c r="O8" s="175"/>
      <c r="P8" s="705"/>
      <c r="Q8" s="705" t="s">
        <v>2603</v>
      </c>
      <c r="R8" s="48" t="s">
        <v>2584</v>
      </c>
      <c r="S8" s="176">
        <v>46105</v>
      </c>
      <c r="T8" s="211">
        <v>46101</v>
      </c>
      <c r="U8" s="176"/>
      <c r="V8" s="176">
        <v>46139</v>
      </c>
      <c r="W8" s="213" t="s">
        <v>2604</v>
      </c>
      <c r="X8" s="159" t="s">
        <v>2586</v>
      </c>
    </row>
    <row r="9" s="3" customFormat="1" ht="25.5" hidden="1" customHeight="1" spans="1:25">
      <c r="A9" s="208">
        <f t="shared" si="0"/>
        <v>6</v>
      </c>
      <c r="B9" s="48" t="s">
        <v>2580</v>
      </c>
      <c r="C9" s="48" t="s">
        <v>124</v>
      </c>
      <c r="D9" s="50" t="s">
        <v>2605</v>
      </c>
      <c r="E9" s="50" t="s">
        <v>2606</v>
      </c>
      <c r="F9" s="52">
        <v>46063</v>
      </c>
      <c r="G9" s="52">
        <v>46126</v>
      </c>
      <c r="H9" s="52">
        <v>46126</v>
      </c>
      <c r="I9" s="53">
        <v>46139</v>
      </c>
      <c r="J9" s="175">
        <f t="shared" ref="J9:J19" si="1">SUM(L9:O9)</f>
        <v>478</v>
      </c>
      <c r="K9" s="175">
        <v>1</v>
      </c>
      <c r="L9" s="175"/>
      <c r="M9" s="175"/>
      <c r="N9" s="703"/>
      <c r="O9" s="175">
        <v>478</v>
      </c>
      <c r="P9" s="48"/>
      <c r="Q9" s="48" t="s">
        <v>2607</v>
      </c>
      <c r="R9" s="48" t="s">
        <v>2584</v>
      </c>
      <c r="S9" s="176">
        <v>46126</v>
      </c>
      <c r="T9" s="211">
        <v>46148</v>
      </c>
      <c r="U9" s="176"/>
      <c r="V9" s="176">
        <v>46142</v>
      </c>
      <c r="W9" s="213" t="s">
        <v>2608</v>
      </c>
      <c r="X9" s="159" t="s">
        <v>2609</v>
      </c>
    </row>
    <row r="10" s="3" customFormat="1" ht="25.5" hidden="1" customHeight="1" spans="1:25">
      <c r="A10" s="208">
        <f t="shared" si="0"/>
        <v>7</v>
      </c>
      <c r="B10" s="48" t="s">
        <v>2580</v>
      </c>
      <c r="C10" s="48" t="s">
        <v>124</v>
      </c>
      <c r="D10" s="50" t="s">
        <v>2610</v>
      </c>
      <c r="E10" s="50" t="s">
        <v>2611</v>
      </c>
      <c r="F10" s="52">
        <v>46063</v>
      </c>
      <c r="G10" s="52">
        <v>46126</v>
      </c>
      <c r="H10" s="52">
        <v>46126</v>
      </c>
      <c r="I10" s="53">
        <v>46139</v>
      </c>
      <c r="J10" s="175">
        <f t="shared" si="1"/>
        <v>538</v>
      </c>
      <c r="K10" s="175">
        <v>1</v>
      </c>
      <c r="L10" s="175"/>
      <c r="M10" s="175"/>
      <c r="N10" s="703"/>
      <c r="O10" s="175">
        <v>538</v>
      </c>
      <c r="P10" s="49"/>
      <c r="Q10" s="49"/>
      <c r="R10" s="48" t="s">
        <v>2584</v>
      </c>
      <c r="S10" s="176">
        <v>46126</v>
      </c>
      <c r="T10" s="211">
        <v>46148</v>
      </c>
      <c r="U10" s="176"/>
      <c r="V10" s="176">
        <v>46153</v>
      </c>
      <c r="W10" s="213" t="s">
        <v>2612</v>
      </c>
      <c r="X10" s="159" t="s">
        <v>2609</v>
      </c>
    </row>
    <row r="11" s="3" customFormat="1" ht="25.5" hidden="1" customHeight="1" spans="1:25">
      <c r="A11" s="208">
        <f t="shared" si="0"/>
        <v>8</v>
      </c>
      <c r="B11" s="48" t="s">
        <v>2580</v>
      </c>
      <c r="C11" s="48" t="s">
        <v>124</v>
      </c>
      <c r="D11" s="50" t="s">
        <v>2613</v>
      </c>
      <c r="E11" s="50" t="s">
        <v>2614</v>
      </c>
      <c r="F11" s="52">
        <v>46063</v>
      </c>
      <c r="G11" s="52">
        <v>46156</v>
      </c>
      <c r="H11" s="52">
        <v>46156</v>
      </c>
      <c r="I11" s="53">
        <v>46134</v>
      </c>
      <c r="J11" s="175">
        <f t="shared" si="1"/>
        <v>500</v>
      </c>
      <c r="K11" s="175">
        <v>1</v>
      </c>
      <c r="L11" s="175"/>
      <c r="M11" s="175"/>
      <c r="N11" s="703"/>
      <c r="O11" s="175">
        <v>500</v>
      </c>
      <c r="P11" s="49"/>
      <c r="Q11" s="49"/>
      <c r="R11" s="48" t="s">
        <v>2584</v>
      </c>
      <c r="S11" s="176">
        <v>46156</v>
      </c>
      <c r="T11" s="211">
        <v>46148</v>
      </c>
      <c r="U11" s="176"/>
      <c r="V11" s="176">
        <v>46153</v>
      </c>
      <c r="W11" s="213" t="s">
        <v>2615</v>
      </c>
      <c r="X11" s="159" t="s">
        <v>2616</v>
      </c>
    </row>
    <row r="12" s="311" customFormat="1" ht="25.5" hidden="1" customHeight="1" spans="1:25">
      <c r="A12" s="208">
        <f t="shared" ref="A12:A20" si="2">ROW()-3</f>
        <v>9</v>
      </c>
      <c r="B12" s="48" t="s">
        <v>2617</v>
      </c>
      <c r="C12" s="49" t="s">
        <v>2618</v>
      </c>
      <c r="D12" s="50" t="s">
        <v>2619</v>
      </c>
      <c r="E12" s="50" t="s">
        <v>2620</v>
      </c>
      <c r="F12" s="52">
        <v>46097</v>
      </c>
      <c r="G12" s="52">
        <v>46132</v>
      </c>
      <c r="H12" s="52">
        <v>46132</v>
      </c>
      <c r="I12" s="53">
        <v>46160</v>
      </c>
      <c r="J12" s="175">
        <f t="shared" si="1"/>
        <v>850</v>
      </c>
      <c r="K12" s="175">
        <v>1</v>
      </c>
      <c r="L12" s="175">
        <v>850</v>
      </c>
      <c r="M12" s="175"/>
      <c r="N12" s="703"/>
      <c r="O12" s="175"/>
      <c r="P12" s="706"/>
      <c r="Q12" s="706"/>
      <c r="R12" s="48" t="s">
        <v>2584</v>
      </c>
      <c r="S12" s="176">
        <v>46132</v>
      </c>
      <c r="T12" s="211">
        <v>46162</v>
      </c>
      <c r="U12" s="211"/>
      <c r="V12" s="211">
        <v>46165</v>
      </c>
      <c r="W12" s="213" t="s">
        <v>2621</v>
      </c>
      <c r="X12" s="159" t="s">
        <v>2622</v>
      </c>
    </row>
    <row r="13" s="311" customFormat="1" ht="25.5" hidden="1" customHeight="1" spans="1:25">
      <c r="A13" s="208">
        <f t="shared" si="2"/>
        <v>10</v>
      </c>
      <c r="B13" s="48" t="s">
        <v>2617</v>
      </c>
      <c r="C13" s="49" t="s">
        <v>2618</v>
      </c>
      <c r="D13" s="50" t="s">
        <v>2623</v>
      </c>
      <c r="E13" s="50" t="s">
        <v>2624</v>
      </c>
      <c r="F13" s="52">
        <v>46097</v>
      </c>
      <c r="G13" s="52">
        <v>46132</v>
      </c>
      <c r="H13" s="52">
        <v>46132</v>
      </c>
      <c r="I13" s="53">
        <v>46160</v>
      </c>
      <c r="J13" s="175">
        <f t="shared" si="1"/>
        <v>710</v>
      </c>
      <c r="K13" s="175">
        <v>1</v>
      </c>
      <c r="L13" s="175">
        <v>710</v>
      </c>
      <c r="M13" s="175"/>
      <c r="N13" s="703"/>
      <c r="O13" s="175"/>
      <c r="P13" s="706"/>
      <c r="Q13" s="706"/>
      <c r="R13" s="48" t="s">
        <v>2584</v>
      </c>
      <c r="S13" s="176">
        <v>46132</v>
      </c>
      <c r="T13" s="211">
        <v>46162</v>
      </c>
      <c r="U13" s="211"/>
      <c r="V13" s="211">
        <v>46165</v>
      </c>
      <c r="W13" s="213" t="s">
        <v>2625</v>
      </c>
      <c r="X13" s="159" t="s">
        <v>2622</v>
      </c>
    </row>
    <row r="14" s="311" customFormat="1" ht="25.5" hidden="1" customHeight="1" spans="1:25">
      <c r="A14" s="208">
        <f t="shared" si="2"/>
        <v>11</v>
      </c>
      <c r="B14" s="48" t="s">
        <v>2617</v>
      </c>
      <c r="C14" s="49" t="s">
        <v>2618</v>
      </c>
      <c r="D14" s="50" t="s">
        <v>2626</v>
      </c>
      <c r="E14" s="50" t="s">
        <v>2627</v>
      </c>
      <c r="F14" s="52">
        <v>46097</v>
      </c>
      <c r="G14" s="52">
        <v>46132</v>
      </c>
      <c r="H14" s="52">
        <v>46132</v>
      </c>
      <c r="I14" s="53">
        <v>46160</v>
      </c>
      <c r="J14" s="175">
        <f t="shared" si="1"/>
        <v>914</v>
      </c>
      <c r="K14" s="175">
        <v>1</v>
      </c>
      <c r="L14" s="175">
        <v>914</v>
      </c>
      <c r="M14" s="175"/>
      <c r="N14" s="703"/>
      <c r="O14" s="175"/>
      <c r="P14" s="706"/>
      <c r="Q14" s="706"/>
      <c r="R14" s="48" t="s">
        <v>2584</v>
      </c>
      <c r="S14" s="176">
        <v>46132</v>
      </c>
      <c r="T14" s="211">
        <v>46162</v>
      </c>
      <c r="U14" s="211"/>
      <c r="V14" s="211">
        <v>46165</v>
      </c>
      <c r="W14" s="213" t="s">
        <v>2628</v>
      </c>
      <c r="X14" s="159" t="s">
        <v>2622</v>
      </c>
    </row>
    <row r="15" s="311" customFormat="1" ht="25.5" hidden="1" customHeight="1" spans="1:25">
      <c r="A15" s="208">
        <f t="shared" si="2"/>
        <v>12</v>
      </c>
      <c r="B15" s="48" t="s">
        <v>2617</v>
      </c>
      <c r="C15" s="49" t="s">
        <v>2618</v>
      </c>
      <c r="D15" s="50" t="s">
        <v>2629</v>
      </c>
      <c r="E15" s="50" t="s">
        <v>2630</v>
      </c>
      <c r="F15" s="52">
        <v>46097</v>
      </c>
      <c r="G15" s="52">
        <v>46132</v>
      </c>
      <c r="H15" s="52">
        <v>46132</v>
      </c>
      <c r="I15" s="53">
        <v>46160</v>
      </c>
      <c r="J15" s="175">
        <f t="shared" si="1"/>
        <v>1284</v>
      </c>
      <c r="K15" s="175">
        <v>1</v>
      </c>
      <c r="L15" s="175">
        <v>1284</v>
      </c>
      <c r="M15" s="175"/>
      <c r="N15" s="703"/>
      <c r="O15" s="175"/>
      <c r="P15" s="706"/>
      <c r="Q15" s="706"/>
      <c r="R15" s="48" t="s">
        <v>2584</v>
      </c>
      <c r="S15" s="176">
        <v>46132</v>
      </c>
      <c r="T15" s="211">
        <v>46162</v>
      </c>
      <c r="U15" s="211"/>
      <c r="V15" s="211">
        <v>46165</v>
      </c>
      <c r="W15" s="213" t="s">
        <v>2631</v>
      </c>
      <c r="X15" s="159" t="s">
        <v>2622</v>
      </c>
    </row>
    <row r="16" s="311" customFormat="1" ht="25.5" hidden="1" customHeight="1" spans="1:25">
      <c r="A16" s="208">
        <f t="shared" si="2"/>
        <v>13</v>
      </c>
      <c r="B16" s="48" t="s">
        <v>2617</v>
      </c>
      <c r="C16" s="49" t="s">
        <v>2618</v>
      </c>
      <c r="D16" s="50" t="s">
        <v>2632</v>
      </c>
      <c r="E16" s="50" t="s">
        <v>2633</v>
      </c>
      <c r="F16" s="52">
        <v>46097</v>
      </c>
      <c r="G16" s="52">
        <v>46132</v>
      </c>
      <c r="H16" s="52">
        <v>46132</v>
      </c>
      <c r="I16" s="53">
        <v>46160</v>
      </c>
      <c r="J16" s="175">
        <f t="shared" si="1"/>
        <v>1032</v>
      </c>
      <c r="K16" s="175">
        <v>1</v>
      </c>
      <c r="L16" s="175">
        <v>1032</v>
      </c>
      <c r="M16" s="175"/>
      <c r="N16" s="703"/>
      <c r="O16" s="175"/>
      <c r="P16" s="706"/>
      <c r="Q16" s="706"/>
      <c r="R16" s="48" t="s">
        <v>2584</v>
      </c>
      <c r="S16" s="176">
        <v>46132</v>
      </c>
      <c r="T16" s="211">
        <v>46162</v>
      </c>
      <c r="U16" s="211"/>
      <c r="V16" s="211">
        <v>46165</v>
      </c>
      <c r="W16" s="213" t="s">
        <v>2634</v>
      </c>
      <c r="X16" s="159" t="s">
        <v>2622</v>
      </c>
    </row>
    <row r="17" s="311" customFormat="1" ht="25.5" hidden="1" customHeight="1" spans="1:24">
      <c r="A17" s="208">
        <f t="shared" si="2"/>
        <v>14</v>
      </c>
      <c r="B17" s="48" t="s">
        <v>2617</v>
      </c>
      <c r="C17" s="49" t="s">
        <v>2618</v>
      </c>
      <c r="D17" s="50" t="s">
        <v>2635</v>
      </c>
      <c r="E17" s="50" t="s">
        <v>2636</v>
      </c>
      <c r="F17" s="52">
        <v>46097</v>
      </c>
      <c r="G17" s="52">
        <v>46132</v>
      </c>
      <c r="H17" s="52">
        <v>46132</v>
      </c>
      <c r="I17" s="53">
        <v>46160</v>
      </c>
      <c r="J17" s="175">
        <f t="shared" si="1"/>
        <v>836</v>
      </c>
      <c r="K17" s="175">
        <v>1</v>
      </c>
      <c r="L17" s="175">
        <v>836</v>
      </c>
      <c r="M17" s="175"/>
      <c r="N17" s="703"/>
      <c r="O17" s="175"/>
      <c r="P17" s="706"/>
      <c r="Q17" s="706"/>
      <c r="R17" s="48" t="s">
        <v>2584</v>
      </c>
      <c r="S17" s="176">
        <v>46132</v>
      </c>
      <c r="T17" s="211">
        <v>46162</v>
      </c>
      <c r="U17" s="211"/>
      <c r="V17" s="211">
        <v>46165</v>
      </c>
      <c r="W17" s="213" t="s">
        <v>2637</v>
      </c>
      <c r="X17" s="159" t="s">
        <v>2622</v>
      </c>
    </row>
    <row r="18" s="311" customFormat="1" ht="25.5" hidden="1" customHeight="1" spans="1:24">
      <c r="A18" s="208">
        <f t="shared" si="2"/>
        <v>15</v>
      </c>
      <c r="B18" s="48" t="s">
        <v>2617</v>
      </c>
      <c r="C18" s="49" t="s">
        <v>2618</v>
      </c>
      <c r="D18" s="50" t="s">
        <v>2638</v>
      </c>
      <c r="E18" s="50" t="s">
        <v>2639</v>
      </c>
      <c r="F18" s="52">
        <v>46097</v>
      </c>
      <c r="G18" s="52">
        <v>46132</v>
      </c>
      <c r="H18" s="52">
        <v>46132</v>
      </c>
      <c r="I18" s="53">
        <v>46160</v>
      </c>
      <c r="J18" s="175">
        <f t="shared" si="1"/>
        <v>864</v>
      </c>
      <c r="K18" s="175">
        <v>1</v>
      </c>
      <c r="L18" s="175">
        <v>864</v>
      </c>
      <c r="M18" s="175"/>
      <c r="N18" s="703"/>
      <c r="O18" s="175"/>
      <c r="P18" s="706"/>
      <c r="Q18" s="706"/>
      <c r="R18" s="48" t="s">
        <v>2584</v>
      </c>
      <c r="S18" s="176">
        <v>46132</v>
      </c>
      <c r="T18" s="211">
        <v>46162</v>
      </c>
      <c r="U18" s="211"/>
      <c r="V18" s="211">
        <v>46165</v>
      </c>
      <c r="W18" s="213" t="s">
        <v>2640</v>
      </c>
      <c r="X18" s="159" t="s">
        <v>2622</v>
      </c>
    </row>
    <row r="19" s="311" customFormat="1" ht="25.5" hidden="1" customHeight="1" spans="1:24">
      <c r="A19" s="208">
        <f t="shared" si="2"/>
        <v>16</v>
      </c>
      <c r="B19" s="48" t="s">
        <v>2597</v>
      </c>
      <c r="C19" s="49" t="s">
        <v>342</v>
      </c>
      <c r="D19" s="50" t="s">
        <v>2493</v>
      </c>
      <c r="E19" s="51" t="s">
        <v>2598</v>
      </c>
      <c r="F19" s="52">
        <v>46063</v>
      </c>
      <c r="G19" s="52">
        <v>46118</v>
      </c>
      <c r="H19" s="52">
        <v>46118</v>
      </c>
      <c r="I19" s="53">
        <v>46100</v>
      </c>
      <c r="J19" s="175">
        <f t="shared" si="1"/>
        <v>500</v>
      </c>
      <c r="K19" s="175">
        <v>1</v>
      </c>
      <c r="L19" s="175"/>
      <c r="M19" s="175"/>
      <c r="N19" s="703"/>
      <c r="O19" s="175">
        <v>500</v>
      </c>
      <c r="P19" s="706"/>
      <c r="Q19" s="706"/>
      <c r="R19" s="48" t="s">
        <v>2584</v>
      </c>
      <c r="S19" s="176">
        <v>46132</v>
      </c>
      <c r="T19" s="211">
        <v>46128</v>
      </c>
      <c r="U19" s="211"/>
      <c r="V19" s="211">
        <v>46133</v>
      </c>
      <c r="W19" s="213" t="s">
        <v>2500</v>
      </c>
      <c r="X19" s="159" t="s">
        <v>2641</v>
      </c>
    </row>
    <row r="20" s="3" customFormat="1" ht="25.5" hidden="1" customHeight="1" spans="1:24">
      <c r="A20" s="208">
        <f t="shared" si="2"/>
        <v>17</v>
      </c>
      <c r="B20" s="48" t="s">
        <v>2642</v>
      </c>
      <c r="C20" s="49" t="s">
        <v>2618</v>
      </c>
      <c r="D20" s="50" t="s">
        <v>2643</v>
      </c>
      <c r="E20" s="50" t="s">
        <v>2644</v>
      </c>
      <c r="F20" s="52">
        <v>46091</v>
      </c>
      <c r="G20" s="52">
        <v>46129</v>
      </c>
      <c r="H20" s="52">
        <v>46129</v>
      </c>
      <c r="I20" s="53">
        <v>46125</v>
      </c>
      <c r="J20" s="175">
        <f>SUM(L20:N20)</f>
        <v>2000</v>
      </c>
      <c r="K20" s="175">
        <v>1</v>
      </c>
      <c r="L20" s="175">
        <v>1000</v>
      </c>
      <c r="M20" s="175">
        <v>1000</v>
      </c>
      <c r="N20" s="703"/>
      <c r="O20" s="703"/>
      <c r="P20" s="624"/>
      <c r="Q20" s="48"/>
      <c r="R20" s="48" t="s">
        <v>2584</v>
      </c>
      <c r="S20" s="176">
        <v>46129</v>
      </c>
      <c r="T20" s="211">
        <v>46135</v>
      </c>
      <c r="U20" s="176"/>
      <c r="V20" s="176">
        <v>46139</v>
      </c>
      <c r="W20" s="213" t="s">
        <v>2645</v>
      </c>
      <c r="X20" s="159" t="s">
        <v>2646</v>
      </c>
    </row>
    <row r="21" s="311" customFormat="1" ht="25.5" hidden="1" customHeight="1" spans="1:24">
      <c r="A21" s="208">
        <f t="shared" ref="A21:A60" si="3">ROW()-3</f>
        <v>18</v>
      </c>
      <c r="B21" s="48" t="s">
        <v>2617</v>
      </c>
      <c r="C21" s="49" t="s">
        <v>2618</v>
      </c>
      <c r="D21" s="50" t="s">
        <v>2647</v>
      </c>
      <c r="E21" s="51" t="s">
        <v>2648</v>
      </c>
      <c r="F21" s="52">
        <v>46097</v>
      </c>
      <c r="G21" s="52">
        <v>46132</v>
      </c>
      <c r="H21" s="52">
        <v>46132</v>
      </c>
      <c r="I21" s="53">
        <v>46099</v>
      </c>
      <c r="J21" s="175">
        <f t="shared" ref="J21:J53" si="4">SUM(L21:N21)</f>
        <v>850</v>
      </c>
      <c r="K21" s="175">
        <v>1</v>
      </c>
      <c r="L21" s="175"/>
      <c r="M21" s="175">
        <v>850</v>
      </c>
      <c r="N21" s="703"/>
      <c r="O21" s="175"/>
      <c r="P21" s="706"/>
      <c r="Q21" s="706"/>
      <c r="R21" s="48" t="s">
        <v>2584</v>
      </c>
      <c r="S21" s="176">
        <v>46132</v>
      </c>
      <c r="T21" s="211">
        <v>46114</v>
      </c>
      <c r="U21" s="211"/>
      <c r="V21" s="211">
        <v>46119</v>
      </c>
      <c r="W21" s="213" t="s">
        <v>2649</v>
      </c>
      <c r="X21" s="159" t="s">
        <v>2586</v>
      </c>
    </row>
    <row r="22" s="311" customFormat="1" ht="25.5" hidden="1" customHeight="1" spans="1:24">
      <c r="A22" s="208">
        <f t="shared" si="3"/>
        <v>19</v>
      </c>
      <c r="B22" s="48" t="s">
        <v>2617</v>
      </c>
      <c r="C22" s="49" t="s">
        <v>2618</v>
      </c>
      <c r="D22" s="50" t="s">
        <v>2650</v>
      </c>
      <c r="E22" s="51" t="s">
        <v>2651</v>
      </c>
      <c r="F22" s="52">
        <v>46097</v>
      </c>
      <c r="G22" s="52">
        <v>46132</v>
      </c>
      <c r="H22" s="52">
        <v>46132</v>
      </c>
      <c r="I22" s="53">
        <v>46099</v>
      </c>
      <c r="J22" s="175">
        <f t="shared" si="4"/>
        <v>710</v>
      </c>
      <c r="K22" s="175">
        <v>1</v>
      </c>
      <c r="L22" s="175"/>
      <c r="M22" s="175">
        <v>710</v>
      </c>
      <c r="N22" s="703"/>
      <c r="O22" s="175"/>
      <c r="P22" s="706"/>
      <c r="Q22" s="706"/>
      <c r="R22" s="48" t="s">
        <v>2584</v>
      </c>
      <c r="S22" s="176">
        <v>46132</v>
      </c>
      <c r="T22" s="211">
        <v>46114</v>
      </c>
      <c r="U22" s="211"/>
      <c r="V22" s="211">
        <v>46119</v>
      </c>
      <c r="W22" s="213" t="s">
        <v>2652</v>
      </c>
      <c r="X22" s="159" t="s">
        <v>2586</v>
      </c>
    </row>
    <row r="23" s="311" customFormat="1" ht="25.5" hidden="1" customHeight="1" spans="1:24">
      <c r="A23" s="208">
        <f t="shared" si="3"/>
        <v>20</v>
      </c>
      <c r="B23" s="48" t="s">
        <v>2617</v>
      </c>
      <c r="C23" s="49" t="s">
        <v>2618</v>
      </c>
      <c r="D23" s="50" t="s">
        <v>2653</v>
      </c>
      <c r="E23" s="51" t="s">
        <v>2654</v>
      </c>
      <c r="F23" s="52">
        <v>46097</v>
      </c>
      <c r="G23" s="52">
        <v>46132</v>
      </c>
      <c r="H23" s="52">
        <v>46132</v>
      </c>
      <c r="I23" s="53">
        <v>46099</v>
      </c>
      <c r="J23" s="175">
        <f t="shared" si="4"/>
        <v>914</v>
      </c>
      <c r="K23" s="175">
        <v>1</v>
      </c>
      <c r="L23" s="175"/>
      <c r="M23" s="175">
        <v>914</v>
      </c>
      <c r="N23" s="703"/>
      <c r="O23" s="175"/>
      <c r="P23" s="706"/>
      <c r="Q23" s="706"/>
      <c r="R23" s="48" t="s">
        <v>2584</v>
      </c>
      <c r="S23" s="176">
        <v>46132</v>
      </c>
      <c r="T23" s="211">
        <v>46114</v>
      </c>
      <c r="U23" s="211"/>
      <c r="V23" s="211">
        <v>46119</v>
      </c>
      <c r="W23" s="213" t="s">
        <v>2655</v>
      </c>
      <c r="X23" s="159" t="s">
        <v>2586</v>
      </c>
    </row>
    <row r="24" s="311" customFormat="1" ht="25.5" hidden="1" customHeight="1" spans="1:24">
      <c r="A24" s="208">
        <f t="shared" si="3"/>
        <v>21</v>
      </c>
      <c r="B24" s="48" t="s">
        <v>2617</v>
      </c>
      <c r="C24" s="49" t="s">
        <v>2618</v>
      </c>
      <c r="D24" s="50" t="s">
        <v>2656</v>
      </c>
      <c r="E24" s="51" t="s">
        <v>2657</v>
      </c>
      <c r="F24" s="52">
        <v>46097</v>
      </c>
      <c r="G24" s="52">
        <v>46132</v>
      </c>
      <c r="H24" s="52">
        <v>46132</v>
      </c>
      <c r="I24" s="53">
        <v>46099</v>
      </c>
      <c r="J24" s="175">
        <f t="shared" si="4"/>
        <v>1284</v>
      </c>
      <c r="K24" s="175">
        <v>1</v>
      </c>
      <c r="L24" s="175"/>
      <c r="M24" s="175">
        <v>1284</v>
      </c>
      <c r="N24" s="703"/>
      <c r="O24" s="175"/>
      <c r="P24" s="707"/>
      <c r="Q24" s="707"/>
      <c r="R24" s="48" t="s">
        <v>2584</v>
      </c>
      <c r="S24" s="176">
        <v>46132</v>
      </c>
      <c r="T24" s="211">
        <v>46114</v>
      </c>
      <c r="U24" s="211"/>
      <c r="V24" s="211">
        <v>46119</v>
      </c>
      <c r="W24" s="213" t="s">
        <v>2658</v>
      </c>
      <c r="X24" s="159" t="s">
        <v>2586</v>
      </c>
    </row>
    <row r="25" s="311" customFormat="1" ht="25.5" hidden="1" customHeight="1" spans="1:24">
      <c r="A25" s="208">
        <f t="shared" si="3"/>
        <v>22</v>
      </c>
      <c r="B25" s="48" t="s">
        <v>2617</v>
      </c>
      <c r="C25" s="49" t="s">
        <v>2618</v>
      </c>
      <c r="D25" s="50" t="s">
        <v>2659</v>
      </c>
      <c r="E25" s="51" t="s">
        <v>2660</v>
      </c>
      <c r="F25" s="52">
        <v>46097</v>
      </c>
      <c r="G25" s="52">
        <v>46132</v>
      </c>
      <c r="H25" s="52">
        <v>46132</v>
      </c>
      <c r="I25" s="53">
        <v>46099</v>
      </c>
      <c r="J25" s="175">
        <f t="shared" si="4"/>
        <v>1032</v>
      </c>
      <c r="K25" s="175">
        <v>1</v>
      </c>
      <c r="L25" s="175"/>
      <c r="M25" s="175">
        <v>1032</v>
      </c>
      <c r="N25" s="703"/>
      <c r="O25" s="175"/>
      <c r="P25" s="707"/>
      <c r="Q25" s="707"/>
      <c r="R25" s="48" t="s">
        <v>2584</v>
      </c>
      <c r="S25" s="176">
        <v>46132</v>
      </c>
      <c r="T25" s="211">
        <v>46114</v>
      </c>
      <c r="U25" s="211"/>
      <c r="V25" s="211">
        <v>46119</v>
      </c>
      <c r="W25" s="213" t="s">
        <v>2661</v>
      </c>
      <c r="X25" s="159" t="s">
        <v>2586</v>
      </c>
    </row>
    <row r="26" s="311" customFormat="1" ht="25.5" hidden="1" customHeight="1" spans="1:24">
      <c r="A26" s="208">
        <f t="shared" si="3"/>
        <v>23</v>
      </c>
      <c r="B26" s="48" t="s">
        <v>2617</v>
      </c>
      <c r="C26" s="49" t="s">
        <v>2618</v>
      </c>
      <c r="D26" s="50" t="s">
        <v>2662</v>
      </c>
      <c r="E26" s="51" t="s">
        <v>2663</v>
      </c>
      <c r="F26" s="52">
        <v>46097</v>
      </c>
      <c r="G26" s="52">
        <v>46132</v>
      </c>
      <c r="H26" s="52">
        <v>46132</v>
      </c>
      <c r="I26" s="53">
        <v>46099</v>
      </c>
      <c r="J26" s="175">
        <f t="shared" si="4"/>
        <v>836</v>
      </c>
      <c r="K26" s="175">
        <v>1</v>
      </c>
      <c r="L26" s="175"/>
      <c r="M26" s="175">
        <v>836</v>
      </c>
      <c r="N26" s="703"/>
      <c r="O26" s="175"/>
      <c r="P26" s="707"/>
      <c r="Q26" s="707"/>
      <c r="R26" s="48" t="s">
        <v>2584</v>
      </c>
      <c r="S26" s="176">
        <v>46132</v>
      </c>
      <c r="T26" s="211">
        <v>46114</v>
      </c>
      <c r="U26" s="211"/>
      <c r="V26" s="211">
        <v>46119</v>
      </c>
      <c r="W26" s="213" t="s">
        <v>2664</v>
      </c>
      <c r="X26" s="159" t="s">
        <v>2586</v>
      </c>
    </row>
    <row r="27" s="311" customFormat="1" ht="25.5" hidden="1" customHeight="1" spans="1:24">
      <c r="A27" s="208">
        <f t="shared" si="3"/>
        <v>24</v>
      </c>
      <c r="B27" s="48" t="s">
        <v>2617</v>
      </c>
      <c r="C27" s="49" t="s">
        <v>2618</v>
      </c>
      <c r="D27" s="50" t="s">
        <v>2665</v>
      </c>
      <c r="E27" s="51" t="s">
        <v>2666</v>
      </c>
      <c r="F27" s="52">
        <v>46097</v>
      </c>
      <c r="G27" s="52">
        <v>46132</v>
      </c>
      <c r="H27" s="52">
        <v>46132</v>
      </c>
      <c r="I27" s="53">
        <v>46099</v>
      </c>
      <c r="J27" s="175">
        <f t="shared" si="4"/>
        <v>864</v>
      </c>
      <c r="K27" s="175">
        <v>1</v>
      </c>
      <c r="L27" s="175"/>
      <c r="M27" s="175">
        <v>864</v>
      </c>
      <c r="N27" s="703"/>
      <c r="O27" s="175"/>
      <c r="P27" s="707"/>
      <c r="Q27" s="707"/>
      <c r="R27" s="48" t="s">
        <v>2584</v>
      </c>
      <c r="S27" s="176">
        <v>46132</v>
      </c>
      <c r="T27" s="211">
        <v>46114</v>
      </c>
      <c r="U27" s="211"/>
      <c r="V27" s="211">
        <v>46119</v>
      </c>
      <c r="W27" s="1291" t="s">
        <v>2667</v>
      </c>
      <c r="X27" s="159" t="s">
        <v>2586</v>
      </c>
    </row>
    <row r="28" s="311" customFormat="1" ht="25.5" hidden="1" customHeight="1" spans="1:24">
      <c r="A28" s="208">
        <f t="shared" si="3"/>
        <v>25</v>
      </c>
      <c r="B28" s="48" t="s">
        <v>2617</v>
      </c>
      <c r="C28" s="49" t="s">
        <v>2618</v>
      </c>
      <c r="D28" s="50" t="s">
        <v>2668</v>
      </c>
      <c r="E28" s="51" t="s">
        <v>2669</v>
      </c>
      <c r="F28" s="52">
        <v>46097</v>
      </c>
      <c r="G28" s="52">
        <v>46132</v>
      </c>
      <c r="H28" s="52">
        <v>46132</v>
      </c>
      <c r="I28" s="53">
        <v>46104</v>
      </c>
      <c r="J28" s="175">
        <f t="shared" si="4"/>
        <v>1800</v>
      </c>
      <c r="K28" s="175">
        <v>1</v>
      </c>
      <c r="L28" s="175">
        <v>700</v>
      </c>
      <c r="M28" s="175">
        <v>1100</v>
      </c>
      <c r="N28" s="703"/>
      <c r="O28" s="175"/>
      <c r="P28" s="707"/>
      <c r="Q28" s="707"/>
      <c r="R28" s="48" t="s">
        <v>2584</v>
      </c>
      <c r="S28" s="176">
        <v>46132</v>
      </c>
      <c r="T28" s="211">
        <v>46114</v>
      </c>
      <c r="U28" s="211"/>
      <c r="V28" s="211">
        <v>46119</v>
      </c>
      <c r="W28" s="1291" t="s">
        <v>2670</v>
      </c>
      <c r="X28" s="159" t="s">
        <v>2671</v>
      </c>
    </row>
    <row r="29" s="311" customFormat="1" ht="25.5" hidden="1" customHeight="1" spans="1:24">
      <c r="A29" s="208">
        <f t="shared" si="3"/>
        <v>26</v>
      </c>
      <c r="B29" s="48" t="s">
        <v>2617</v>
      </c>
      <c r="C29" s="49" t="s">
        <v>2618</v>
      </c>
      <c r="D29" s="50" t="s">
        <v>2672</v>
      </c>
      <c r="E29" s="51" t="s">
        <v>2673</v>
      </c>
      <c r="F29" s="52">
        <v>46097</v>
      </c>
      <c r="G29" s="52">
        <v>46132</v>
      </c>
      <c r="H29" s="52">
        <v>46132</v>
      </c>
      <c r="I29" s="53">
        <v>46104</v>
      </c>
      <c r="J29" s="175">
        <f t="shared" si="4"/>
        <v>550</v>
      </c>
      <c r="K29" s="175">
        <v>1</v>
      </c>
      <c r="L29" s="708">
        <v>0</v>
      </c>
      <c r="M29" s="175">
        <v>550</v>
      </c>
      <c r="N29" s="703"/>
      <c r="O29" s="175"/>
      <c r="P29" s="707"/>
      <c r="Q29" s="707"/>
      <c r="R29" s="48" t="s">
        <v>2584</v>
      </c>
      <c r="S29" s="176">
        <v>46132</v>
      </c>
      <c r="T29" s="211">
        <v>46114</v>
      </c>
      <c r="U29" s="211"/>
      <c r="V29" s="211">
        <v>46119</v>
      </c>
      <c r="W29" s="1291" t="s">
        <v>2674</v>
      </c>
      <c r="X29" s="159" t="s">
        <v>2671</v>
      </c>
    </row>
    <row r="30" s="311" customFormat="1" ht="25.5" hidden="1" customHeight="1" spans="1:24">
      <c r="A30" s="208">
        <f t="shared" si="3"/>
        <v>27</v>
      </c>
      <c r="B30" s="48" t="s">
        <v>2617</v>
      </c>
      <c r="C30" s="49" t="s">
        <v>2618</v>
      </c>
      <c r="D30" s="50" t="s">
        <v>2675</v>
      </c>
      <c r="E30" s="51" t="s">
        <v>2676</v>
      </c>
      <c r="F30" s="52">
        <v>46097</v>
      </c>
      <c r="G30" s="52">
        <v>46132</v>
      </c>
      <c r="H30" s="52">
        <v>46132</v>
      </c>
      <c r="I30" s="53">
        <v>46122</v>
      </c>
      <c r="J30" s="175">
        <f>SUM(L30:O30)</f>
        <v>300</v>
      </c>
      <c r="K30" s="175"/>
      <c r="L30" s="708">
        <v>300</v>
      </c>
      <c r="M30" s="175"/>
      <c r="N30" s="703"/>
      <c r="O30" s="175"/>
      <c r="P30" s="707"/>
      <c r="Q30" s="707"/>
      <c r="R30" s="48" t="s">
        <v>2584</v>
      </c>
      <c r="S30" s="176">
        <v>46132</v>
      </c>
      <c r="T30" s="211">
        <v>46114</v>
      </c>
      <c r="U30" s="211"/>
      <c r="V30" s="211">
        <v>46119</v>
      </c>
      <c r="W30" s="1291" t="s">
        <v>2677</v>
      </c>
      <c r="X30" s="159" t="s">
        <v>2678</v>
      </c>
    </row>
    <row r="31" s="311" customFormat="1" ht="25.5" hidden="1" customHeight="1" spans="1:24">
      <c r="A31" s="208">
        <f t="shared" si="3"/>
        <v>28</v>
      </c>
      <c r="B31" s="48" t="s">
        <v>2617</v>
      </c>
      <c r="C31" s="49" t="s">
        <v>2618</v>
      </c>
      <c r="D31" s="50" t="s">
        <v>2679</v>
      </c>
      <c r="E31" s="51" t="s">
        <v>2680</v>
      </c>
      <c r="F31" s="52">
        <v>46097</v>
      </c>
      <c r="G31" s="52">
        <v>46132</v>
      </c>
      <c r="H31" s="52">
        <v>46132</v>
      </c>
      <c r="I31" s="53">
        <v>46104</v>
      </c>
      <c r="J31" s="175">
        <f t="shared" si="4"/>
        <v>880</v>
      </c>
      <c r="K31" s="175">
        <v>1</v>
      </c>
      <c r="L31" s="708">
        <v>0</v>
      </c>
      <c r="M31" s="175">
        <v>880</v>
      </c>
      <c r="N31" s="703"/>
      <c r="O31" s="175"/>
      <c r="P31" s="707"/>
      <c r="Q31" s="707"/>
      <c r="R31" s="48" t="s">
        <v>2584</v>
      </c>
      <c r="S31" s="176">
        <v>46132</v>
      </c>
      <c r="T31" s="211">
        <v>46114</v>
      </c>
      <c r="U31" s="211"/>
      <c r="V31" s="211">
        <v>46119</v>
      </c>
      <c r="W31" s="1291" t="s">
        <v>2681</v>
      </c>
      <c r="X31" s="159" t="s">
        <v>2671</v>
      </c>
    </row>
    <row r="32" s="311" customFormat="1" ht="25.5" hidden="1" customHeight="1" spans="1:24">
      <c r="A32" s="208">
        <f t="shared" si="3"/>
        <v>29</v>
      </c>
      <c r="B32" s="48" t="s">
        <v>2617</v>
      </c>
      <c r="C32" s="49" t="s">
        <v>2618</v>
      </c>
      <c r="D32" s="50" t="s">
        <v>2682</v>
      </c>
      <c r="E32" s="51" t="s">
        <v>2683</v>
      </c>
      <c r="F32" s="52">
        <v>46097</v>
      </c>
      <c r="G32" s="52">
        <v>46132</v>
      </c>
      <c r="H32" s="52">
        <v>46132</v>
      </c>
      <c r="I32" s="53">
        <v>46122</v>
      </c>
      <c r="J32" s="175">
        <f>SUM(L32:O32)</f>
        <v>500</v>
      </c>
      <c r="K32" s="175"/>
      <c r="L32" s="708">
        <v>500</v>
      </c>
      <c r="M32" s="175"/>
      <c r="N32" s="703"/>
      <c r="O32" s="175"/>
      <c r="P32" s="707"/>
      <c r="Q32" s="707"/>
      <c r="R32" s="48" t="s">
        <v>2584</v>
      </c>
      <c r="S32" s="176">
        <v>46132</v>
      </c>
      <c r="T32" s="211">
        <v>46114</v>
      </c>
      <c r="U32" s="211"/>
      <c r="V32" s="211">
        <v>46119</v>
      </c>
      <c r="W32" s="1291" t="s">
        <v>2684</v>
      </c>
      <c r="X32" s="159" t="s">
        <v>2678</v>
      </c>
    </row>
    <row r="33" s="311" customFormat="1" ht="25.5" hidden="1" customHeight="1" spans="1:24">
      <c r="A33" s="208">
        <f t="shared" si="3"/>
        <v>30</v>
      </c>
      <c r="B33" s="48" t="s">
        <v>2617</v>
      </c>
      <c r="C33" s="49" t="s">
        <v>2618</v>
      </c>
      <c r="D33" s="50" t="s">
        <v>2685</v>
      </c>
      <c r="E33" s="51" t="s">
        <v>2686</v>
      </c>
      <c r="F33" s="52">
        <v>46097</v>
      </c>
      <c r="G33" s="52">
        <v>46132</v>
      </c>
      <c r="H33" s="52">
        <v>46132</v>
      </c>
      <c r="I33" s="53">
        <v>46104</v>
      </c>
      <c r="J33" s="175">
        <f t="shared" si="4"/>
        <v>1210</v>
      </c>
      <c r="K33" s="175">
        <v>1</v>
      </c>
      <c r="L33" s="708">
        <v>0</v>
      </c>
      <c r="M33" s="175">
        <v>1210</v>
      </c>
      <c r="N33" s="703"/>
      <c r="O33" s="175"/>
      <c r="P33" s="707"/>
      <c r="Q33" s="707"/>
      <c r="R33" s="48" t="s">
        <v>2584</v>
      </c>
      <c r="S33" s="176">
        <v>46132</v>
      </c>
      <c r="T33" s="211">
        <v>46114</v>
      </c>
      <c r="U33" s="211"/>
      <c r="V33" s="211">
        <v>46119</v>
      </c>
      <c r="W33" s="1291" t="s">
        <v>2687</v>
      </c>
      <c r="X33" s="159" t="s">
        <v>2671</v>
      </c>
    </row>
    <row r="34" s="311" customFormat="1" ht="25.5" hidden="1" customHeight="1" spans="1:24">
      <c r="A34" s="208">
        <f t="shared" si="3"/>
        <v>31</v>
      </c>
      <c r="B34" s="48" t="s">
        <v>2617</v>
      </c>
      <c r="C34" s="49" t="s">
        <v>2618</v>
      </c>
      <c r="D34" s="50" t="s">
        <v>2688</v>
      </c>
      <c r="E34" s="51" t="s">
        <v>2689</v>
      </c>
      <c r="F34" s="52">
        <v>46097</v>
      </c>
      <c r="G34" s="52">
        <v>46132</v>
      </c>
      <c r="H34" s="52">
        <v>46132</v>
      </c>
      <c r="I34" s="53">
        <v>46122</v>
      </c>
      <c r="J34" s="175">
        <f>SUM(L34:O34)</f>
        <v>700</v>
      </c>
      <c r="K34" s="175"/>
      <c r="L34" s="708">
        <v>700</v>
      </c>
      <c r="M34" s="175"/>
      <c r="N34" s="703"/>
      <c r="O34" s="175"/>
      <c r="P34" s="707"/>
      <c r="Q34" s="707"/>
      <c r="R34" s="48" t="s">
        <v>2584</v>
      </c>
      <c r="S34" s="176">
        <v>46132</v>
      </c>
      <c r="T34" s="211">
        <v>46114</v>
      </c>
      <c r="U34" s="211"/>
      <c r="V34" s="211">
        <v>46119</v>
      </c>
      <c r="W34" s="1291" t="s">
        <v>2690</v>
      </c>
      <c r="X34" s="159" t="s">
        <v>2678</v>
      </c>
    </row>
    <row r="35" s="311" customFormat="1" ht="25.5" hidden="1" customHeight="1" spans="1:24">
      <c r="A35" s="208">
        <f t="shared" si="3"/>
        <v>32</v>
      </c>
      <c r="B35" s="48" t="s">
        <v>2617</v>
      </c>
      <c r="C35" s="49" t="s">
        <v>2618</v>
      </c>
      <c r="D35" s="50" t="s">
        <v>2691</v>
      </c>
      <c r="E35" s="51" t="s">
        <v>2692</v>
      </c>
      <c r="F35" s="52">
        <v>46097</v>
      </c>
      <c r="G35" s="52">
        <v>46132</v>
      </c>
      <c r="H35" s="52">
        <v>46132</v>
      </c>
      <c r="I35" s="53">
        <v>46104</v>
      </c>
      <c r="J35" s="175">
        <f t="shared" si="4"/>
        <v>770</v>
      </c>
      <c r="K35" s="175">
        <v>1</v>
      </c>
      <c r="L35" s="708">
        <v>0</v>
      </c>
      <c r="M35" s="175">
        <v>770</v>
      </c>
      <c r="N35" s="703"/>
      <c r="O35" s="175"/>
      <c r="P35" s="707"/>
      <c r="Q35" s="707"/>
      <c r="R35" s="48" t="s">
        <v>2584</v>
      </c>
      <c r="S35" s="176">
        <v>46132</v>
      </c>
      <c r="T35" s="211">
        <v>46114</v>
      </c>
      <c r="U35" s="211"/>
      <c r="V35" s="211">
        <v>46119</v>
      </c>
      <c r="W35" s="1291" t="s">
        <v>2693</v>
      </c>
      <c r="X35" s="159" t="s">
        <v>2671</v>
      </c>
    </row>
    <row r="36" s="311" customFormat="1" ht="25.5" hidden="1" customHeight="1" spans="1:24">
      <c r="A36" s="208">
        <f t="shared" si="3"/>
        <v>33</v>
      </c>
      <c r="B36" s="48" t="s">
        <v>2617</v>
      </c>
      <c r="C36" s="49" t="s">
        <v>2618</v>
      </c>
      <c r="D36" s="50" t="s">
        <v>2694</v>
      </c>
      <c r="E36" s="51" t="s">
        <v>2695</v>
      </c>
      <c r="F36" s="52">
        <v>46097</v>
      </c>
      <c r="G36" s="52">
        <v>46132</v>
      </c>
      <c r="H36" s="52">
        <v>46132</v>
      </c>
      <c r="I36" s="53">
        <v>46122</v>
      </c>
      <c r="J36" s="175">
        <f>SUM(L36:O36)</f>
        <v>500</v>
      </c>
      <c r="K36" s="175"/>
      <c r="L36" s="708">
        <v>500</v>
      </c>
      <c r="M36" s="175"/>
      <c r="N36" s="703"/>
      <c r="O36" s="175"/>
      <c r="P36" s="707"/>
      <c r="Q36" s="707"/>
      <c r="R36" s="48" t="s">
        <v>2584</v>
      </c>
      <c r="S36" s="176">
        <v>46132</v>
      </c>
      <c r="T36" s="211">
        <v>46114</v>
      </c>
      <c r="U36" s="211"/>
      <c r="V36" s="211">
        <v>46119</v>
      </c>
      <c r="W36" s="1291" t="s">
        <v>2696</v>
      </c>
      <c r="X36" s="159" t="s">
        <v>2678</v>
      </c>
    </row>
    <row r="37" s="311" customFormat="1" ht="25.5" hidden="1" customHeight="1" spans="1:24">
      <c r="A37" s="208">
        <f t="shared" si="3"/>
        <v>34</v>
      </c>
      <c r="B37" s="48" t="s">
        <v>2617</v>
      </c>
      <c r="C37" s="49" t="s">
        <v>2618</v>
      </c>
      <c r="D37" s="50" t="s">
        <v>2697</v>
      </c>
      <c r="E37" s="51" t="s">
        <v>2698</v>
      </c>
      <c r="F37" s="52">
        <v>46097</v>
      </c>
      <c r="G37" s="52">
        <v>46132</v>
      </c>
      <c r="H37" s="52">
        <v>46132</v>
      </c>
      <c r="I37" s="53">
        <v>46104</v>
      </c>
      <c r="J37" s="175">
        <f t="shared" si="4"/>
        <v>1170</v>
      </c>
      <c r="K37" s="175">
        <v>1</v>
      </c>
      <c r="L37" s="175">
        <v>400</v>
      </c>
      <c r="M37" s="175">
        <v>770</v>
      </c>
      <c r="N37" s="703"/>
      <c r="O37" s="175"/>
      <c r="P37" s="707"/>
      <c r="Q37" s="707"/>
      <c r="R37" s="48" t="s">
        <v>2584</v>
      </c>
      <c r="S37" s="176">
        <v>46132</v>
      </c>
      <c r="T37" s="211">
        <v>46114</v>
      </c>
      <c r="U37" s="211"/>
      <c r="V37" s="211">
        <v>46119</v>
      </c>
      <c r="W37" s="1291" t="s">
        <v>2699</v>
      </c>
      <c r="X37" s="159" t="s">
        <v>2671</v>
      </c>
    </row>
    <row r="38" s="311" customFormat="1" ht="25.5" hidden="1" customHeight="1" spans="1:24">
      <c r="A38" s="208">
        <f t="shared" si="3"/>
        <v>35</v>
      </c>
      <c r="B38" s="48" t="s">
        <v>2617</v>
      </c>
      <c r="C38" s="49" t="s">
        <v>2618</v>
      </c>
      <c r="D38" s="50" t="s">
        <v>2700</v>
      </c>
      <c r="E38" s="51" t="s">
        <v>2701</v>
      </c>
      <c r="F38" s="52">
        <v>46097</v>
      </c>
      <c r="G38" s="52">
        <v>46132</v>
      </c>
      <c r="H38" s="52">
        <v>46132</v>
      </c>
      <c r="I38" s="53">
        <v>46104</v>
      </c>
      <c r="J38" s="175">
        <f t="shared" si="4"/>
        <v>770</v>
      </c>
      <c r="K38" s="175">
        <v>1</v>
      </c>
      <c r="L38" s="708">
        <v>0</v>
      </c>
      <c r="M38" s="175">
        <v>770</v>
      </c>
      <c r="N38" s="703"/>
      <c r="O38" s="175"/>
      <c r="P38" s="707"/>
      <c r="Q38" s="707"/>
      <c r="R38" s="48" t="s">
        <v>2584</v>
      </c>
      <c r="S38" s="176">
        <v>46132</v>
      </c>
      <c r="T38" s="211">
        <v>46134</v>
      </c>
      <c r="U38" s="211"/>
      <c r="V38" s="176">
        <v>46139</v>
      </c>
      <c r="W38" s="1291" t="s">
        <v>2702</v>
      </c>
      <c r="X38" s="159" t="s">
        <v>2671</v>
      </c>
    </row>
    <row r="39" s="311" customFormat="1" ht="25.5" hidden="1" customHeight="1" spans="1:24">
      <c r="A39" s="208">
        <f t="shared" si="3"/>
        <v>36</v>
      </c>
      <c r="B39" s="48" t="s">
        <v>2617</v>
      </c>
      <c r="C39" s="49" t="s">
        <v>2618</v>
      </c>
      <c r="D39" s="50" t="s">
        <v>2703</v>
      </c>
      <c r="E39" s="51" t="s">
        <v>2704</v>
      </c>
      <c r="F39" s="52">
        <v>46097</v>
      </c>
      <c r="G39" s="52">
        <v>46132</v>
      </c>
      <c r="H39" s="52">
        <v>46132</v>
      </c>
      <c r="I39" s="53">
        <v>46122</v>
      </c>
      <c r="J39" s="175">
        <f>SUM(L39:O39)</f>
        <v>400</v>
      </c>
      <c r="K39" s="175"/>
      <c r="L39" s="708">
        <v>400</v>
      </c>
      <c r="M39" s="175"/>
      <c r="N39" s="703"/>
      <c r="O39" s="175"/>
      <c r="P39" s="707"/>
      <c r="Q39" s="707"/>
      <c r="R39" s="48" t="s">
        <v>2584</v>
      </c>
      <c r="S39" s="176">
        <v>46132</v>
      </c>
      <c r="T39" s="211">
        <v>46134</v>
      </c>
      <c r="U39" s="211"/>
      <c r="V39" s="176">
        <v>46139</v>
      </c>
      <c r="W39" s="1291" t="s">
        <v>2705</v>
      </c>
      <c r="X39" s="159" t="s">
        <v>2678</v>
      </c>
    </row>
    <row r="40" s="311" customFormat="1" ht="25.5" hidden="1" customHeight="1" spans="1:24">
      <c r="A40" s="208">
        <f t="shared" si="3"/>
        <v>37</v>
      </c>
      <c r="B40" s="48" t="s">
        <v>2617</v>
      </c>
      <c r="C40" s="49" t="s">
        <v>2618</v>
      </c>
      <c r="D40" s="50" t="s">
        <v>2706</v>
      </c>
      <c r="E40" s="51" t="s">
        <v>2707</v>
      </c>
      <c r="F40" s="52">
        <v>46097</v>
      </c>
      <c r="G40" s="52">
        <v>46132</v>
      </c>
      <c r="H40" s="52">
        <v>46132</v>
      </c>
      <c r="I40" s="53">
        <v>46104</v>
      </c>
      <c r="J40" s="175">
        <f t="shared" si="4"/>
        <v>960</v>
      </c>
      <c r="K40" s="175">
        <v>1</v>
      </c>
      <c r="L40" s="175">
        <v>300</v>
      </c>
      <c r="M40" s="175">
        <v>660</v>
      </c>
      <c r="N40" s="703"/>
      <c r="O40" s="175"/>
      <c r="P40" s="707"/>
      <c r="Q40" s="707"/>
      <c r="R40" s="48" t="s">
        <v>2584</v>
      </c>
      <c r="S40" s="176">
        <v>46132</v>
      </c>
      <c r="T40" s="211">
        <v>46134</v>
      </c>
      <c r="U40" s="211"/>
      <c r="V40" s="176">
        <v>46139</v>
      </c>
      <c r="W40" s="1291" t="s">
        <v>2708</v>
      </c>
      <c r="X40" s="159" t="s">
        <v>2671</v>
      </c>
    </row>
    <row r="41" s="311" customFormat="1" ht="25.5" hidden="1" customHeight="1" spans="1:24">
      <c r="A41" s="208">
        <f t="shared" si="3"/>
        <v>38</v>
      </c>
      <c r="B41" s="48" t="s">
        <v>2617</v>
      </c>
      <c r="C41" s="49" t="s">
        <v>2618</v>
      </c>
      <c r="D41" s="50" t="s">
        <v>2709</v>
      </c>
      <c r="E41" s="51" t="s">
        <v>2710</v>
      </c>
      <c r="F41" s="52">
        <v>46097</v>
      </c>
      <c r="G41" s="52">
        <v>46132</v>
      </c>
      <c r="H41" s="52">
        <v>46132</v>
      </c>
      <c r="I41" s="53">
        <v>46104</v>
      </c>
      <c r="J41" s="175">
        <f t="shared" si="4"/>
        <v>530</v>
      </c>
      <c r="K41" s="175">
        <v>1</v>
      </c>
      <c r="L41" s="175">
        <v>200</v>
      </c>
      <c r="M41" s="175">
        <v>330</v>
      </c>
      <c r="N41" s="703"/>
      <c r="O41" s="175"/>
      <c r="P41" s="707"/>
      <c r="Q41" s="707"/>
      <c r="R41" s="48" t="s">
        <v>2584</v>
      </c>
      <c r="S41" s="176">
        <v>46132</v>
      </c>
      <c r="T41" s="211">
        <v>46134</v>
      </c>
      <c r="U41" s="211"/>
      <c r="V41" s="176">
        <v>46139</v>
      </c>
      <c r="W41" s="1291" t="s">
        <v>2711</v>
      </c>
      <c r="X41" s="159" t="s">
        <v>2671</v>
      </c>
    </row>
    <row r="42" s="311" customFormat="1" ht="25.5" hidden="1" customHeight="1" spans="1:24">
      <c r="A42" s="208">
        <f t="shared" si="3"/>
        <v>39</v>
      </c>
      <c r="B42" s="48" t="s">
        <v>2617</v>
      </c>
      <c r="C42" s="49" t="s">
        <v>2618</v>
      </c>
      <c r="D42" s="50" t="s">
        <v>2712</v>
      </c>
      <c r="E42" s="51" t="s">
        <v>2713</v>
      </c>
      <c r="F42" s="52">
        <v>46097</v>
      </c>
      <c r="G42" s="52">
        <v>46132</v>
      </c>
      <c r="H42" s="52">
        <v>46132</v>
      </c>
      <c r="I42" s="53">
        <v>46104</v>
      </c>
      <c r="J42" s="175">
        <f t="shared" si="4"/>
        <v>530</v>
      </c>
      <c r="K42" s="175">
        <v>1</v>
      </c>
      <c r="L42" s="175">
        <v>200</v>
      </c>
      <c r="M42" s="175">
        <v>330</v>
      </c>
      <c r="N42" s="703"/>
      <c r="O42" s="175"/>
      <c r="P42" s="707"/>
      <c r="Q42" s="707"/>
      <c r="R42" s="48" t="s">
        <v>2584</v>
      </c>
      <c r="S42" s="176">
        <v>46132</v>
      </c>
      <c r="T42" s="211">
        <v>46134</v>
      </c>
      <c r="U42" s="211"/>
      <c r="V42" s="176">
        <v>46139</v>
      </c>
      <c r="W42" s="1291" t="s">
        <v>2714</v>
      </c>
      <c r="X42" s="159" t="s">
        <v>2671</v>
      </c>
    </row>
    <row r="43" s="311" customFormat="1" ht="25.5" hidden="1" customHeight="1" spans="1:24">
      <c r="A43" s="208">
        <f t="shared" si="3"/>
        <v>40</v>
      </c>
      <c r="B43" s="48" t="s">
        <v>2617</v>
      </c>
      <c r="C43" s="49" t="s">
        <v>2618</v>
      </c>
      <c r="D43" s="50" t="s">
        <v>2715</v>
      </c>
      <c r="E43" s="51" t="s">
        <v>2716</v>
      </c>
      <c r="F43" s="52">
        <v>46097</v>
      </c>
      <c r="G43" s="52">
        <v>46132</v>
      </c>
      <c r="H43" s="52">
        <v>46132</v>
      </c>
      <c r="I43" s="53">
        <v>46104</v>
      </c>
      <c r="J43" s="175">
        <f t="shared" si="4"/>
        <v>850</v>
      </c>
      <c r="K43" s="175">
        <v>1</v>
      </c>
      <c r="L43" s="175">
        <v>300</v>
      </c>
      <c r="M43" s="175">
        <v>550</v>
      </c>
      <c r="N43" s="703"/>
      <c r="O43" s="175"/>
      <c r="P43" s="707"/>
      <c r="Q43" s="707"/>
      <c r="R43" s="48" t="s">
        <v>2584</v>
      </c>
      <c r="S43" s="176">
        <v>46132</v>
      </c>
      <c r="T43" s="211">
        <v>46134</v>
      </c>
      <c r="U43" s="211"/>
      <c r="V43" s="176">
        <v>46139</v>
      </c>
      <c r="W43" s="1291" t="s">
        <v>2717</v>
      </c>
      <c r="X43" s="159" t="s">
        <v>2671</v>
      </c>
    </row>
    <row r="44" s="311" customFormat="1" ht="25.5" hidden="1" customHeight="1" spans="1:24">
      <c r="A44" s="208">
        <f t="shared" si="3"/>
        <v>41</v>
      </c>
      <c r="B44" s="48" t="s">
        <v>2617</v>
      </c>
      <c r="C44" s="49" t="s">
        <v>2618</v>
      </c>
      <c r="D44" s="50" t="s">
        <v>2718</v>
      </c>
      <c r="E44" s="51" t="s">
        <v>2719</v>
      </c>
      <c r="F44" s="52">
        <v>46097</v>
      </c>
      <c r="G44" s="52">
        <v>46132</v>
      </c>
      <c r="H44" s="52">
        <v>46132</v>
      </c>
      <c r="I44" s="53">
        <v>46104</v>
      </c>
      <c r="J44" s="175">
        <f t="shared" si="4"/>
        <v>850</v>
      </c>
      <c r="K44" s="175">
        <v>1</v>
      </c>
      <c r="L44" s="175">
        <v>300</v>
      </c>
      <c r="M44" s="175">
        <v>550</v>
      </c>
      <c r="N44" s="703"/>
      <c r="O44" s="175"/>
      <c r="P44" s="707"/>
      <c r="Q44" s="707"/>
      <c r="R44" s="48" t="s">
        <v>2584</v>
      </c>
      <c r="S44" s="176">
        <v>46132</v>
      </c>
      <c r="T44" s="211">
        <v>46134</v>
      </c>
      <c r="U44" s="211"/>
      <c r="V44" s="176">
        <v>46139</v>
      </c>
      <c r="W44" s="1291" t="s">
        <v>2720</v>
      </c>
      <c r="X44" s="159" t="s">
        <v>2671</v>
      </c>
    </row>
    <row r="45" s="311" customFormat="1" ht="25.5" hidden="1" customHeight="1" spans="1:24">
      <c r="A45" s="208">
        <f t="shared" si="3"/>
        <v>42</v>
      </c>
      <c r="B45" s="48" t="s">
        <v>2617</v>
      </c>
      <c r="C45" s="49" t="s">
        <v>2618</v>
      </c>
      <c r="D45" s="50" t="s">
        <v>2721</v>
      </c>
      <c r="E45" s="51" t="s">
        <v>2722</v>
      </c>
      <c r="F45" s="52">
        <v>46097</v>
      </c>
      <c r="G45" s="52">
        <v>46132</v>
      </c>
      <c r="H45" s="52">
        <v>46132</v>
      </c>
      <c r="I45" s="53">
        <v>46104</v>
      </c>
      <c r="J45" s="175">
        <f t="shared" si="4"/>
        <v>640</v>
      </c>
      <c r="K45" s="175">
        <v>1</v>
      </c>
      <c r="L45" s="175">
        <v>200</v>
      </c>
      <c r="M45" s="175">
        <v>440</v>
      </c>
      <c r="N45" s="703"/>
      <c r="O45" s="175"/>
      <c r="P45" s="707"/>
      <c r="Q45" s="707"/>
      <c r="R45" s="48" t="s">
        <v>2584</v>
      </c>
      <c r="S45" s="176">
        <v>46132</v>
      </c>
      <c r="T45" s="211">
        <v>46134</v>
      </c>
      <c r="U45" s="211"/>
      <c r="V45" s="176">
        <v>46139</v>
      </c>
      <c r="W45" s="1291" t="s">
        <v>2723</v>
      </c>
      <c r="X45" s="159" t="s">
        <v>2671</v>
      </c>
    </row>
    <row r="46" s="311" customFormat="1" ht="25.5" hidden="1" customHeight="1" spans="1:24">
      <c r="A46" s="208">
        <f t="shared" si="3"/>
        <v>43</v>
      </c>
      <c r="B46" s="48" t="s">
        <v>2617</v>
      </c>
      <c r="C46" s="49" t="s">
        <v>2618</v>
      </c>
      <c r="D46" s="50" t="s">
        <v>2724</v>
      </c>
      <c r="E46" s="51" t="s">
        <v>2725</v>
      </c>
      <c r="F46" s="52">
        <v>46097</v>
      </c>
      <c r="G46" s="52">
        <v>46132</v>
      </c>
      <c r="H46" s="52">
        <v>46132</v>
      </c>
      <c r="I46" s="53">
        <v>46104</v>
      </c>
      <c r="J46" s="175">
        <f t="shared" si="4"/>
        <v>530</v>
      </c>
      <c r="K46" s="175">
        <v>1</v>
      </c>
      <c r="L46" s="175">
        <v>200</v>
      </c>
      <c r="M46" s="175">
        <v>330</v>
      </c>
      <c r="N46" s="703"/>
      <c r="O46" s="175"/>
      <c r="P46" s="707"/>
      <c r="Q46" s="707"/>
      <c r="R46" s="48" t="s">
        <v>2584</v>
      </c>
      <c r="S46" s="176">
        <v>46132</v>
      </c>
      <c r="T46" s="211">
        <v>46134</v>
      </c>
      <c r="U46" s="211"/>
      <c r="V46" s="176">
        <v>46139</v>
      </c>
      <c r="W46" s="1291" t="s">
        <v>2726</v>
      </c>
      <c r="X46" s="159" t="s">
        <v>2671</v>
      </c>
    </row>
    <row r="47" s="311" customFormat="1" ht="25.5" hidden="1" customHeight="1" spans="1:24">
      <c r="A47" s="208">
        <f t="shared" si="3"/>
        <v>44</v>
      </c>
      <c r="B47" s="48" t="s">
        <v>2617</v>
      </c>
      <c r="C47" s="49" t="s">
        <v>2618</v>
      </c>
      <c r="D47" s="50" t="s">
        <v>2727</v>
      </c>
      <c r="E47" s="51" t="s">
        <v>2728</v>
      </c>
      <c r="F47" s="52">
        <v>46097</v>
      </c>
      <c r="G47" s="52">
        <v>46132</v>
      </c>
      <c r="H47" s="52">
        <v>46132</v>
      </c>
      <c r="I47" s="53">
        <v>46104</v>
      </c>
      <c r="J47" s="175">
        <f t="shared" si="4"/>
        <v>640</v>
      </c>
      <c r="K47" s="175">
        <v>1</v>
      </c>
      <c r="L47" s="175">
        <v>200</v>
      </c>
      <c r="M47" s="175">
        <v>440</v>
      </c>
      <c r="N47" s="703"/>
      <c r="O47" s="703"/>
      <c r="P47" s="709"/>
      <c r="Q47" s="706"/>
      <c r="R47" s="48" t="s">
        <v>2584</v>
      </c>
      <c r="S47" s="176">
        <v>46132</v>
      </c>
      <c r="T47" s="211">
        <v>46134</v>
      </c>
      <c r="U47" s="211"/>
      <c r="V47" s="176">
        <v>46139</v>
      </c>
      <c r="W47" s="1291" t="s">
        <v>2729</v>
      </c>
      <c r="X47" s="159" t="s">
        <v>2671</v>
      </c>
    </row>
    <row r="48" s="311" customFormat="1" ht="25.5" hidden="1" customHeight="1" spans="1:24">
      <c r="A48" s="208">
        <f t="shared" si="3"/>
        <v>45</v>
      </c>
      <c r="B48" s="48" t="s">
        <v>2617</v>
      </c>
      <c r="C48" s="49" t="s">
        <v>2618</v>
      </c>
      <c r="D48" s="50" t="s">
        <v>2730</v>
      </c>
      <c r="E48" s="51" t="s">
        <v>2731</v>
      </c>
      <c r="F48" s="52">
        <v>46097</v>
      </c>
      <c r="G48" s="52">
        <v>46132</v>
      </c>
      <c r="H48" s="52">
        <v>46132</v>
      </c>
      <c r="I48" s="53">
        <v>46104</v>
      </c>
      <c r="J48" s="175">
        <f t="shared" si="4"/>
        <v>850</v>
      </c>
      <c r="K48" s="175">
        <v>1</v>
      </c>
      <c r="L48" s="175">
        <v>300</v>
      </c>
      <c r="M48" s="175">
        <v>550</v>
      </c>
      <c r="N48" s="703"/>
      <c r="O48" s="703"/>
      <c r="P48" s="709"/>
      <c r="Q48" s="706"/>
      <c r="R48" s="48" t="s">
        <v>2584</v>
      </c>
      <c r="S48" s="176">
        <v>46132</v>
      </c>
      <c r="T48" s="211">
        <v>46134</v>
      </c>
      <c r="U48" s="211"/>
      <c r="V48" s="176">
        <v>46139</v>
      </c>
      <c r="W48" s="1291" t="s">
        <v>2732</v>
      </c>
      <c r="X48" s="159" t="s">
        <v>2671</v>
      </c>
    </row>
    <row r="49" s="311" customFormat="1" ht="25.5" hidden="1" customHeight="1" spans="1:24">
      <c r="A49" s="208">
        <f t="shared" si="3"/>
        <v>46</v>
      </c>
      <c r="B49" s="48" t="s">
        <v>2617</v>
      </c>
      <c r="C49" s="49" t="s">
        <v>2618</v>
      </c>
      <c r="D49" s="50" t="s">
        <v>2733</v>
      </c>
      <c r="E49" s="51" t="s">
        <v>2734</v>
      </c>
      <c r="F49" s="52">
        <v>46097</v>
      </c>
      <c r="G49" s="52">
        <v>46132</v>
      </c>
      <c r="H49" s="52">
        <v>46132</v>
      </c>
      <c r="I49" s="53">
        <v>46104</v>
      </c>
      <c r="J49" s="175">
        <f t="shared" si="4"/>
        <v>1170</v>
      </c>
      <c r="K49" s="175">
        <v>1</v>
      </c>
      <c r="L49" s="175">
        <v>400</v>
      </c>
      <c r="M49" s="175">
        <v>770</v>
      </c>
      <c r="N49" s="703"/>
      <c r="O49" s="703"/>
      <c r="P49" s="709"/>
      <c r="Q49" s="706"/>
      <c r="R49" s="48" t="s">
        <v>2584</v>
      </c>
      <c r="S49" s="176">
        <v>46132</v>
      </c>
      <c r="T49" s="211">
        <v>46134</v>
      </c>
      <c r="U49" s="211"/>
      <c r="V49" s="176">
        <v>46139</v>
      </c>
      <c r="W49" s="1291" t="s">
        <v>2735</v>
      </c>
      <c r="X49" s="159" t="s">
        <v>2671</v>
      </c>
    </row>
    <row r="50" s="311" customFormat="1" ht="25.5" hidden="1" customHeight="1" spans="1:24">
      <c r="A50" s="208">
        <f t="shared" si="3"/>
        <v>47</v>
      </c>
      <c r="B50" s="48" t="s">
        <v>2617</v>
      </c>
      <c r="C50" s="49" t="s">
        <v>2618</v>
      </c>
      <c r="D50" s="50" t="s">
        <v>2736</v>
      </c>
      <c r="E50" s="51" t="s">
        <v>2737</v>
      </c>
      <c r="F50" s="52">
        <v>46097</v>
      </c>
      <c r="G50" s="52">
        <v>46132</v>
      </c>
      <c r="H50" s="52">
        <v>46132</v>
      </c>
      <c r="I50" s="53">
        <v>46104</v>
      </c>
      <c r="J50" s="175">
        <f t="shared" si="4"/>
        <v>850</v>
      </c>
      <c r="K50" s="175">
        <v>1</v>
      </c>
      <c r="L50" s="175">
        <v>300</v>
      </c>
      <c r="M50" s="175">
        <v>550</v>
      </c>
      <c r="N50" s="703"/>
      <c r="O50" s="703"/>
      <c r="P50" s="709"/>
      <c r="Q50" s="706"/>
      <c r="R50" s="48" t="s">
        <v>2584</v>
      </c>
      <c r="S50" s="176">
        <v>46132</v>
      </c>
      <c r="T50" s="211">
        <v>46134</v>
      </c>
      <c r="U50" s="211"/>
      <c r="V50" s="176">
        <v>46139</v>
      </c>
      <c r="W50" s="1291" t="s">
        <v>2738</v>
      </c>
      <c r="X50" s="159" t="s">
        <v>2671</v>
      </c>
    </row>
    <row r="51" s="311" customFormat="1" ht="25.5" hidden="1" customHeight="1" spans="1:24">
      <c r="A51" s="208">
        <f t="shared" si="3"/>
        <v>48</v>
      </c>
      <c r="B51" s="48" t="s">
        <v>2617</v>
      </c>
      <c r="C51" s="49" t="s">
        <v>2618</v>
      </c>
      <c r="D51" s="50" t="s">
        <v>2739</v>
      </c>
      <c r="E51" s="51" t="s">
        <v>2740</v>
      </c>
      <c r="F51" s="52">
        <v>46097</v>
      </c>
      <c r="G51" s="52">
        <v>46132</v>
      </c>
      <c r="H51" s="52">
        <v>46132</v>
      </c>
      <c r="I51" s="53">
        <v>46104</v>
      </c>
      <c r="J51" s="175">
        <f t="shared" si="4"/>
        <v>850</v>
      </c>
      <c r="K51" s="175">
        <v>1</v>
      </c>
      <c r="L51" s="175">
        <v>300</v>
      </c>
      <c r="M51" s="175">
        <v>550</v>
      </c>
      <c r="N51" s="703"/>
      <c r="O51" s="703"/>
      <c r="P51" s="709"/>
      <c r="Q51" s="706"/>
      <c r="R51" s="48" t="s">
        <v>2584</v>
      </c>
      <c r="S51" s="176">
        <v>46132</v>
      </c>
      <c r="T51" s="211">
        <v>46134</v>
      </c>
      <c r="U51" s="211"/>
      <c r="V51" s="176">
        <v>46139</v>
      </c>
      <c r="W51" s="1291" t="s">
        <v>2741</v>
      </c>
      <c r="X51" s="159" t="s">
        <v>2671</v>
      </c>
    </row>
    <row r="52" s="311" customFormat="1" ht="25.5" hidden="1" customHeight="1" spans="1:24">
      <c r="A52" s="208">
        <f t="shared" si="3"/>
        <v>49</v>
      </c>
      <c r="B52" s="48" t="s">
        <v>2617</v>
      </c>
      <c r="C52" s="49" t="s">
        <v>2618</v>
      </c>
      <c r="D52" s="50" t="s">
        <v>2742</v>
      </c>
      <c r="E52" s="51" t="s">
        <v>2743</v>
      </c>
      <c r="F52" s="52">
        <v>46097</v>
      </c>
      <c r="G52" s="52">
        <v>46132</v>
      </c>
      <c r="H52" s="52">
        <v>46132</v>
      </c>
      <c r="I52" s="53">
        <v>46104</v>
      </c>
      <c r="J52" s="175">
        <f t="shared" si="4"/>
        <v>850</v>
      </c>
      <c r="K52" s="175">
        <v>1</v>
      </c>
      <c r="L52" s="175">
        <v>300</v>
      </c>
      <c r="M52" s="175">
        <v>550</v>
      </c>
      <c r="N52" s="703"/>
      <c r="O52" s="703"/>
      <c r="P52" s="709"/>
      <c r="Q52" s="706"/>
      <c r="R52" s="48" t="s">
        <v>2584</v>
      </c>
      <c r="S52" s="176">
        <v>46132</v>
      </c>
      <c r="T52" s="211">
        <v>46134</v>
      </c>
      <c r="U52" s="211"/>
      <c r="V52" s="176">
        <v>46139</v>
      </c>
      <c r="W52" s="1291" t="s">
        <v>2744</v>
      </c>
      <c r="X52" s="159" t="s">
        <v>2671</v>
      </c>
    </row>
    <row r="53" s="311" customFormat="1" ht="25.5" hidden="1" customHeight="1" spans="1:24">
      <c r="A53" s="208">
        <f t="shared" si="3"/>
        <v>50</v>
      </c>
      <c r="B53" s="48" t="s">
        <v>2617</v>
      </c>
      <c r="C53" s="49" t="s">
        <v>2618</v>
      </c>
      <c r="D53" s="50" t="s">
        <v>2745</v>
      </c>
      <c r="E53" s="51" t="s">
        <v>2746</v>
      </c>
      <c r="F53" s="52">
        <v>46097</v>
      </c>
      <c r="G53" s="52">
        <v>46132</v>
      </c>
      <c r="H53" s="52">
        <v>46132</v>
      </c>
      <c r="I53" s="53">
        <v>46104</v>
      </c>
      <c r="J53" s="175">
        <f t="shared" si="4"/>
        <v>1380</v>
      </c>
      <c r="K53" s="175">
        <v>1</v>
      </c>
      <c r="L53" s="175">
        <v>500</v>
      </c>
      <c r="M53" s="175">
        <v>880</v>
      </c>
      <c r="N53" s="703"/>
      <c r="O53" s="703"/>
      <c r="P53" s="709"/>
      <c r="Q53" s="706"/>
      <c r="R53" s="48" t="s">
        <v>2584</v>
      </c>
      <c r="S53" s="176">
        <v>46132</v>
      </c>
      <c r="T53" s="211">
        <v>46134</v>
      </c>
      <c r="U53" s="211"/>
      <c r="V53" s="176">
        <v>46139</v>
      </c>
      <c r="W53" s="1291" t="s">
        <v>2747</v>
      </c>
      <c r="X53" s="159" t="s">
        <v>2671</v>
      </c>
    </row>
    <row r="54" s="311" customFormat="1" ht="25.5" hidden="1" customHeight="1" spans="1:24">
      <c r="A54" s="208">
        <f t="shared" si="3"/>
        <v>51</v>
      </c>
      <c r="B54" s="48" t="s">
        <v>254</v>
      </c>
      <c r="C54" s="49" t="s">
        <v>77</v>
      </c>
      <c r="D54" s="50" t="s">
        <v>2748</v>
      </c>
      <c r="E54" s="50" t="s">
        <v>2749</v>
      </c>
      <c r="F54" s="52">
        <v>46099</v>
      </c>
      <c r="G54" s="52">
        <v>46139</v>
      </c>
      <c r="H54" s="52">
        <v>46139</v>
      </c>
      <c r="I54" s="53">
        <v>46133</v>
      </c>
      <c r="J54" s="175">
        <f t="shared" ref="J54:J60" si="5">SUM(L54:N54)</f>
        <v>3453</v>
      </c>
      <c r="K54" s="175">
        <v>1</v>
      </c>
      <c r="L54" s="175"/>
      <c r="M54" s="175">
        <v>3453</v>
      </c>
      <c r="N54" s="703"/>
      <c r="O54" s="703"/>
      <c r="P54" s="709"/>
      <c r="Q54" s="706"/>
      <c r="R54" s="48" t="s">
        <v>2584</v>
      </c>
      <c r="S54" s="176">
        <v>46139</v>
      </c>
      <c r="T54" s="211">
        <v>46149</v>
      </c>
      <c r="U54" s="211"/>
      <c r="V54" s="211">
        <v>46153</v>
      </c>
      <c r="W54" s="49">
        <v>16314491</v>
      </c>
      <c r="X54" s="159" t="s">
        <v>2750</v>
      </c>
    </row>
    <row r="55" s="3" customFormat="1" ht="25.5" hidden="1" customHeight="1" spans="1:24">
      <c r="A55" s="208">
        <f t="shared" si="3"/>
        <v>52</v>
      </c>
      <c r="B55" s="48" t="s">
        <v>465</v>
      </c>
      <c r="C55" s="49" t="s">
        <v>466</v>
      </c>
      <c r="D55" s="50" t="s">
        <v>467</v>
      </c>
      <c r="E55" s="50" t="s">
        <v>468</v>
      </c>
      <c r="F55" s="52">
        <v>46092</v>
      </c>
      <c r="G55" s="52">
        <v>46141</v>
      </c>
      <c r="H55" s="52">
        <v>46141</v>
      </c>
      <c r="I55" s="53">
        <v>46120</v>
      </c>
      <c r="J55" s="175">
        <f t="shared" si="5"/>
        <v>132</v>
      </c>
      <c r="K55" s="175">
        <v>1</v>
      </c>
      <c r="L55" s="175">
        <v>44</v>
      </c>
      <c r="M55" s="175">
        <v>88</v>
      </c>
      <c r="N55" s="703"/>
      <c r="O55" s="703"/>
      <c r="P55" s="624"/>
      <c r="Q55" s="48"/>
      <c r="R55" s="48" t="s">
        <v>2584</v>
      </c>
      <c r="S55" s="176">
        <v>46141</v>
      </c>
      <c r="T55" s="211">
        <v>46134</v>
      </c>
      <c r="U55" s="176"/>
      <c r="V55" s="176">
        <v>46139</v>
      </c>
      <c r="W55" s="710" t="s">
        <v>471</v>
      </c>
      <c r="X55" s="159" t="s">
        <v>2646</v>
      </c>
    </row>
    <row r="56" s="3" customFormat="1" ht="27" hidden="1" customHeight="1" spans="1:24">
      <c r="A56" s="208">
        <f t="shared" si="3"/>
        <v>53</v>
      </c>
      <c r="B56" s="48" t="s">
        <v>465</v>
      </c>
      <c r="C56" s="49" t="s">
        <v>466</v>
      </c>
      <c r="D56" s="50" t="s">
        <v>473</v>
      </c>
      <c r="E56" s="50" t="s">
        <v>474</v>
      </c>
      <c r="F56" s="52">
        <v>46092</v>
      </c>
      <c r="G56" s="52">
        <v>46141</v>
      </c>
      <c r="H56" s="52">
        <v>46141</v>
      </c>
      <c r="I56" s="53">
        <v>46120</v>
      </c>
      <c r="J56" s="175">
        <f t="shared" si="5"/>
        <v>176</v>
      </c>
      <c r="K56" s="175">
        <v>1</v>
      </c>
      <c r="L56" s="175">
        <v>52</v>
      </c>
      <c r="M56" s="175">
        <v>124</v>
      </c>
      <c r="N56" s="703"/>
      <c r="O56" s="703"/>
      <c r="P56" s="624"/>
      <c r="Q56" s="48"/>
      <c r="R56" s="48" t="s">
        <v>2584</v>
      </c>
      <c r="S56" s="176">
        <v>46141</v>
      </c>
      <c r="T56" s="211">
        <v>46134</v>
      </c>
      <c r="U56" s="176"/>
      <c r="V56" s="176">
        <v>46139</v>
      </c>
      <c r="W56" s="710" t="s">
        <v>475</v>
      </c>
      <c r="X56" s="159" t="s">
        <v>2646</v>
      </c>
    </row>
    <row r="57" s="3" customFormat="1" ht="27" hidden="1" customHeight="1" spans="1:24">
      <c r="A57" s="208">
        <f t="shared" si="3"/>
        <v>54</v>
      </c>
      <c r="B57" s="48" t="s">
        <v>465</v>
      </c>
      <c r="C57" s="49" t="s">
        <v>466</v>
      </c>
      <c r="D57" s="50" t="s">
        <v>476</v>
      </c>
      <c r="E57" s="50" t="s">
        <v>477</v>
      </c>
      <c r="F57" s="52">
        <v>46092</v>
      </c>
      <c r="G57" s="52">
        <v>46141</v>
      </c>
      <c r="H57" s="52">
        <v>46141</v>
      </c>
      <c r="I57" s="53">
        <v>46120</v>
      </c>
      <c r="J57" s="175">
        <f t="shared" si="5"/>
        <v>212</v>
      </c>
      <c r="K57" s="175">
        <v>1</v>
      </c>
      <c r="L57" s="175">
        <v>68</v>
      </c>
      <c r="M57" s="175">
        <v>144</v>
      </c>
      <c r="N57" s="703"/>
      <c r="O57" s="703"/>
      <c r="P57" s="624"/>
      <c r="Q57" s="48"/>
      <c r="R57" s="48" t="s">
        <v>2584</v>
      </c>
      <c r="S57" s="176">
        <v>46141</v>
      </c>
      <c r="T57" s="211">
        <v>46134</v>
      </c>
      <c r="U57" s="176"/>
      <c r="V57" s="176">
        <v>46139</v>
      </c>
      <c r="W57" s="710" t="s">
        <v>478</v>
      </c>
      <c r="X57" s="159" t="s">
        <v>2646</v>
      </c>
    </row>
    <row r="58" s="3" customFormat="1" ht="27" hidden="1" customHeight="1" spans="1:24">
      <c r="A58" s="208">
        <f t="shared" si="3"/>
        <v>55</v>
      </c>
      <c r="B58" s="48" t="s">
        <v>465</v>
      </c>
      <c r="C58" s="49" t="s">
        <v>466</v>
      </c>
      <c r="D58" s="50" t="s">
        <v>479</v>
      </c>
      <c r="E58" s="50" t="s">
        <v>480</v>
      </c>
      <c r="F58" s="52">
        <v>46092</v>
      </c>
      <c r="G58" s="52">
        <v>46141</v>
      </c>
      <c r="H58" s="52">
        <v>46141</v>
      </c>
      <c r="I58" s="53">
        <v>46120</v>
      </c>
      <c r="J58" s="175">
        <f t="shared" si="5"/>
        <v>196</v>
      </c>
      <c r="K58" s="175">
        <v>1</v>
      </c>
      <c r="L58" s="175">
        <v>72</v>
      </c>
      <c r="M58" s="175">
        <v>124</v>
      </c>
      <c r="N58" s="703"/>
      <c r="O58" s="703"/>
      <c r="P58" s="624"/>
      <c r="Q58" s="48"/>
      <c r="R58" s="48" t="s">
        <v>2584</v>
      </c>
      <c r="S58" s="176">
        <v>46141</v>
      </c>
      <c r="T58" s="211">
        <v>46134</v>
      </c>
      <c r="U58" s="176"/>
      <c r="V58" s="176">
        <v>46139</v>
      </c>
      <c r="W58" s="710" t="s">
        <v>481</v>
      </c>
      <c r="X58" s="159" t="s">
        <v>2646</v>
      </c>
    </row>
    <row r="59" s="3" customFormat="1" ht="27" hidden="1" customHeight="1" spans="1:24">
      <c r="A59" s="208">
        <f t="shared" si="3"/>
        <v>56</v>
      </c>
      <c r="B59" s="48" t="s">
        <v>465</v>
      </c>
      <c r="C59" s="49" t="s">
        <v>466</v>
      </c>
      <c r="D59" s="50" t="s">
        <v>482</v>
      </c>
      <c r="E59" s="50" t="s">
        <v>483</v>
      </c>
      <c r="F59" s="52">
        <v>46092</v>
      </c>
      <c r="G59" s="52">
        <v>46141</v>
      </c>
      <c r="H59" s="52">
        <v>46141</v>
      </c>
      <c r="I59" s="53">
        <v>46120</v>
      </c>
      <c r="J59" s="175">
        <f t="shared" si="5"/>
        <v>184</v>
      </c>
      <c r="K59" s="175">
        <v>1</v>
      </c>
      <c r="L59" s="175">
        <v>64</v>
      </c>
      <c r="M59" s="175">
        <v>120</v>
      </c>
      <c r="N59" s="703"/>
      <c r="O59" s="703"/>
      <c r="P59" s="624"/>
      <c r="Q59" s="48"/>
      <c r="R59" s="48" t="s">
        <v>2584</v>
      </c>
      <c r="S59" s="176">
        <v>46141</v>
      </c>
      <c r="T59" s="211">
        <v>46134</v>
      </c>
      <c r="U59" s="176"/>
      <c r="V59" s="176">
        <v>46139</v>
      </c>
      <c r="W59" s="213" t="s">
        <v>484</v>
      </c>
      <c r="X59" s="159" t="s">
        <v>2646</v>
      </c>
    </row>
    <row r="60" s="311" customFormat="1" ht="25.5" hidden="1" customHeight="1" spans="1:24">
      <c r="A60" s="208">
        <f t="shared" si="3"/>
        <v>57</v>
      </c>
      <c r="B60" s="48" t="s">
        <v>2597</v>
      </c>
      <c r="C60" s="49" t="s">
        <v>342</v>
      </c>
      <c r="D60" s="50" t="s">
        <v>2751</v>
      </c>
      <c r="E60" s="50" t="s">
        <v>2752</v>
      </c>
      <c r="F60" s="52">
        <v>46063</v>
      </c>
      <c r="G60" s="52">
        <v>46142</v>
      </c>
      <c r="H60" s="52">
        <v>46142</v>
      </c>
      <c r="I60" s="53">
        <v>46098</v>
      </c>
      <c r="J60" s="175">
        <f t="shared" si="5"/>
        <v>500</v>
      </c>
      <c r="K60" s="175">
        <v>1</v>
      </c>
      <c r="L60" s="175">
        <v>500</v>
      </c>
      <c r="M60" s="175"/>
      <c r="N60" s="703"/>
      <c r="O60" s="175"/>
      <c r="P60" s="706"/>
      <c r="Q60" s="706"/>
      <c r="R60" s="48" t="s">
        <v>2584</v>
      </c>
      <c r="S60" s="176">
        <v>46142</v>
      </c>
      <c r="T60" s="211">
        <v>46134</v>
      </c>
      <c r="U60" s="211"/>
      <c r="V60" s="176">
        <v>46139</v>
      </c>
      <c r="W60" s="213" t="s">
        <v>2500</v>
      </c>
      <c r="X60" s="159" t="s">
        <v>2753</v>
      </c>
    </row>
    <row r="61" s="3" customFormat="1" ht="25.5" hidden="1" customHeight="1" spans="1:24">
      <c r="A61" s="208">
        <f t="shared" ref="A61:A69" si="6">ROW()-3</f>
        <v>58</v>
      </c>
      <c r="B61" s="48" t="s">
        <v>2591</v>
      </c>
      <c r="C61" s="49" t="s">
        <v>1932</v>
      </c>
      <c r="D61" s="50" t="s">
        <v>2754</v>
      </c>
      <c r="E61" s="50" t="s">
        <v>2755</v>
      </c>
      <c r="F61" s="52">
        <v>46127</v>
      </c>
      <c r="G61" s="52">
        <v>46153</v>
      </c>
      <c r="H61" s="52">
        <v>46153</v>
      </c>
      <c r="I61" s="53">
        <v>46127</v>
      </c>
      <c r="J61" s="175">
        <f>SUM(L61:O61)</f>
        <v>1520</v>
      </c>
      <c r="K61" s="175">
        <v>1</v>
      </c>
      <c r="L61" s="175">
        <v>760</v>
      </c>
      <c r="M61" s="175"/>
      <c r="N61" s="703">
        <v>760</v>
      </c>
      <c r="O61" s="703"/>
      <c r="P61" s="624"/>
      <c r="Q61" s="624"/>
      <c r="R61" s="48" t="s">
        <v>2584</v>
      </c>
      <c r="S61" s="176">
        <v>46153</v>
      </c>
      <c r="T61" s="211">
        <v>46149</v>
      </c>
      <c r="U61" s="176"/>
      <c r="V61" s="211" t="s">
        <v>2756</v>
      </c>
      <c r="W61" s="213" t="s">
        <v>2757</v>
      </c>
      <c r="X61" s="159" t="s">
        <v>2758</v>
      </c>
    </row>
    <row r="62" s="3" customFormat="1" ht="25.5" hidden="1" customHeight="1" spans="1:24">
      <c r="A62" s="208">
        <f t="shared" si="6"/>
        <v>59</v>
      </c>
      <c r="B62" s="48" t="s">
        <v>2580</v>
      </c>
      <c r="C62" s="49" t="s">
        <v>124</v>
      </c>
      <c r="D62" s="50" t="s">
        <v>2759</v>
      </c>
      <c r="E62" s="50" t="s">
        <v>2760</v>
      </c>
      <c r="F62" s="52">
        <v>46063</v>
      </c>
      <c r="G62" s="52">
        <v>46154</v>
      </c>
      <c r="H62" s="52">
        <v>46154</v>
      </c>
      <c r="I62" s="53">
        <v>46127</v>
      </c>
      <c r="J62" s="175">
        <f>SUM(L62:N62)</f>
        <v>500</v>
      </c>
      <c r="K62" s="175">
        <v>1</v>
      </c>
      <c r="L62" s="175"/>
      <c r="M62" s="175">
        <v>500</v>
      </c>
      <c r="N62" s="703"/>
      <c r="O62" s="703"/>
      <c r="P62" s="316"/>
      <c r="Q62" s="49"/>
      <c r="R62" s="48" t="s">
        <v>2584</v>
      </c>
      <c r="S62" s="176">
        <v>46154</v>
      </c>
      <c r="T62" s="211">
        <v>46101</v>
      </c>
      <c r="U62" s="176"/>
      <c r="V62" s="176">
        <v>46158</v>
      </c>
      <c r="W62" s="213" t="s">
        <v>2761</v>
      </c>
      <c r="X62" s="159" t="s">
        <v>2586</v>
      </c>
    </row>
    <row r="63" s="3" customFormat="1" ht="25.5" hidden="1" customHeight="1" spans="1:24">
      <c r="A63" s="208">
        <f t="shared" si="6"/>
        <v>60</v>
      </c>
      <c r="B63" s="48" t="s">
        <v>254</v>
      </c>
      <c r="C63" s="49" t="s">
        <v>77</v>
      </c>
      <c r="D63" s="50" t="s">
        <v>2762</v>
      </c>
      <c r="E63" s="50" t="s">
        <v>2763</v>
      </c>
      <c r="F63" s="52">
        <v>46099</v>
      </c>
      <c r="G63" s="52">
        <v>46156</v>
      </c>
      <c r="H63" s="52">
        <v>46156</v>
      </c>
      <c r="I63" s="53">
        <v>46125</v>
      </c>
      <c r="J63" s="175">
        <f>SUM(L63:N63)</f>
        <v>200</v>
      </c>
      <c r="K63" s="175">
        <v>1</v>
      </c>
      <c r="L63" s="175"/>
      <c r="M63" s="175">
        <v>200</v>
      </c>
      <c r="N63" s="703"/>
      <c r="O63" s="703"/>
      <c r="P63" s="316"/>
      <c r="Q63" s="49"/>
      <c r="R63" s="48" t="s">
        <v>2584</v>
      </c>
      <c r="S63" s="176">
        <v>46156</v>
      </c>
      <c r="T63" s="211">
        <v>46149</v>
      </c>
      <c r="U63" s="176"/>
      <c r="V63" s="176">
        <v>46153</v>
      </c>
      <c r="W63" s="213" t="s">
        <v>2764</v>
      </c>
      <c r="X63" s="159" t="s">
        <v>2765</v>
      </c>
    </row>
    <row r="64" s="3" customFormat="1" ht="25.5" hidden="1" customHeight="1" spans="1:24">
      <c r="A64" s="208">
        <f t="shared" si="6"/>
        <v>61</v>
      </c>
      <c r="B64" s="48" t="s">
        <v>2766</v>
      </c>
      <c r="C64" s="49" t="s">
        <v>1959</v>
      </c>
      <c r="D64" s="50" t="s">
        <v>2767</v>
      </c>
      <c r="E64" s="50" t="s">
        <v>2768</v>
      </c>
      <c r="F64" s="52">
        <v>46105</v>
      </c>
      <c r="G64" s="52">
        <v>46157</v>
      </c>
      <c r="H64" s="52">
        <v>46157</v>
      </c>
      <c r="I64" s="53">
        <v>46127</v>
      </c>
      <c r="J64" s="175">
        <f>SUM(L64:O64)</f>
        <v>5280</v>
      </c>
      <c r="K64" s="175">
        <v>1</v>
      </c>
      <c r="L64" s="175"/>
      <c r="M64" s="175">
        <v>2640</v>
      </c>
      <c r="N64" s="703"/>
      <c r="O64" s="703">
        <v>2640</v>
      </c>
      <c r="P64" s="316"/>
      <c r="Q64" s="49"/>
      <c r="R64" s="48" t="s">
        <v>2584</v>
      </c>
      <c r="S64" s="176">
        <v>46157</v>
      </c>
      <c r="T64" s="211" t="s">
        <v>2769</v>
      </c>
      <c r="U64" s="176"/>
      <c r="V64" s="176">
        <v>46158</v>
      </c>
      <c r="W64" s="213" t="s">
        <v>2770</v>
      </c>
      <c r="X64" s="159" t="s">
        <v>2771</v>
      </c>
    </row>
    <row r="65" s="3" customFormat="1" ht="25.5" hidden="1" customHeight="1" spans="1:24">
      <c r="A65" s="208">
        <f t="shared" si="6"/>
        <v>62</v>
      </c>
      <c r="B65" s="48" t="s">
        <v>2766</v>
      </c>
      <c r="C65" s="49" t="s">
        <v>1959</v>
      </c>
      <c r="D65" s="50" t="s">
        <v>2772</v>
      </c>
      <c r="E65" s="50" t="s">
        <v>2773</v>
      </c>
      <c r="F65" s="52">
        <v>46105</v>
      </c>
      <c r="G65" s="52">
        <v>46157</v>
      </c>
      <c r="H65" s="52">
        <v>46157</v>
      </c>
      <c r="I65" s="53">
        <v>46127</v>
      </c>
      <c r="J65" s="175">
        <f>SUM(L65:O65)</f>
        <v>5280</v>
      </c>
      <c r="K65" s="175">
        <v>1</v>
      </c>
      <c r="L65" s="175"/>
      <c r="M65" s="175">
        <v>2640</v>
      </c>
      <c r="N65" s="703"/>
      <c r="O65" s="703">
        <v>2640</v>
      </c>
      <c r="P65" s="316"/>
      <c r="Q65" s="49"/>
      <c r="R65" s="48" t="s">
        <v>2584</v>
      </c>
      <c r="S65" s="176">
        <v>46157</v>
      </c>
      <c r="T65" s="211" t="s">
        <v>2769</v>
      </c>
      <c r="U65" s="176"/>
      <c r="V65" s="211" t="s">
        <v>2774</v>
      </c>
      <c r="W65" s="213" t="s">
        <v>2775</v>
      </c>
      <c r="X65" s="159" t="s">
        <v>2771</v>
      </c>
    </row>
    <row r="66" s="3" customFormat="1" ht="25.5" hidden="1" customHeight="1" spans="1:24">
      <c r="A66" s="208">
        <f t="shared" si="6"/>
        <v>63</v>
      </c>
      <c r="B66" s="48" t="s">
        <v>1944</v>
      </c>
      <c r="C66" s="49" t="s">
        <v>1945</v>
      </c>
      <c r="D66" s="50" t="s">
        <v>1952</v>
      </c>
      <c r="E66" s="50" t="s">
        <v>1953</v>
      </c>
      <c r="F66" s="52">
        <v>46092</v>
      </c>
      <c r="G66" s="52">
        <v>46160</v>
      </c>
      <c r="H66" s="52">
        <v>46160</v>
      </c>
      <c r="I66" s="53">
        <v>46140</v>
      </c>
      <c r="J66" s="175">
        <f>SUBTOTAL(9,L66:O66)</f>
        <v>0</v>
      </c>
      <c r="K66" s="175">
        <v>1</v>
      </c>
      <c r="L66" s="175"/>
      <c r="M66" s="175">
        <v>1136</v>
      </c>
      <c r="N66" s="703"/>
      <c r="O66" s="703"/>
      <c r="P66" s="624"/>
      <c r="Q66" s="48"/>
      <c r="R66" s="48" t="s">
        <v>2584</v>
      </c>
      <c r="S66" s="176">
        <v>46160</v>
      </c>
      <c r="T66" s="211">
        <v>46156</v>
      </c>
      <c r="U66" s="176"/>
      <c r="V66" s="211" t="s">
        <v>2776</v>
      </c>
      <c r="W66" s="213" t="s">
        <v>2777</v>
      </c>
      <c r="X66" s="159" t="s">
        <v>2778</v>
      </c>
    </row>
    <row r="67" s="3" customFormat="1" ht="25.5" hidden="1" customHeight="1" spans="1:24">
      <c r="A67" s="208">
        <f t="shared" si="6"/>
        <v>64</v>
      </c>
      <c r="B67" s="48" t="s">
        <v>1944</v>
      </c>
      <c r="C67" s="49" t="s">
        <v>1945</v>
      </c>
      <c r="D67" s="50" t="s">
        <v>1946</v>
      </c>
      <c r="E67" s="51" t="s">
        <v>1947</v>
      </c>
      <c r="F67" s="52">
        <v>46092</v>
      </c>
      <c r="G67" s="52">
        <v>46162</v>
      </c>
      <c r="H67" s="52">
        <v>46162</v>
      </c>
      <c r="I67" s="53">
        <v>46139</v>
      </c>
      <c r="J67" s="175">
        <f>SUBTOTAL(9,L67:O67)</f>
        <v>0</v>
      </c>
      <c r="K67" s="175">
        <v>1</v>
      </c>
      <c r="L67" s="175"/>
      <c r="M67" s="175">
        <v>1372</v>
      </c>
      <c r="N67" s="703"/>
      <c r="O67" s="703"/>
      <c r="P67" s="624"/>
      <c r="Q67" s="48"/>
      <c r="R67" s="48" t="s">
        <v>2584</v>
      </c>
      <c r="S67" s="176">
        <v>46162</v>
      </c>
      <c r="T67" s="211">
        <v>46156</v>
      </c>
      <c r="U67" s="176"/>
      <c r="V67" s="176">
        <v>46158</v>
      </c>
      <c r="W67" s="213" t="s">
        <v>2779</v>
      </c>
      <c r="X67" s="159" t="s">
        <v>2778</v>
      </c>
    </row>
    <row r="68" s="3" customFormat="1" ht="25.5" hidden="1" customHeight="1" spans="1:24">
      <c r="A68" s="208">
        <f t="shared" si="6"/>
        <v>65</v>
      </c>
      <c r="B68" s="48" t="s">
        <v>2597</v>
      </c>
      <c r="C68" s="49" t="s">
        <v>342</v>
      </c>
      <c r="D68" s="50" t="s">
        <v>2780</v>
      </c>
      <c r="E68" s="50" t="s">
        <v>2781</v>
      </c>
      <c r="F68" s="52">
        <v>46114</v>
      </c>
      <c r="G68" s="52">
        <v>46162</v>
      </c>
      <c r="H68" s="52">
        <v>46162</v>
      </c>
      <c r="I68" s="53">
        <v>46133</v>
      </c>
      <c r="J68" s="175">
        <f>SUM(L68:O68)</f>
        <v>340</v>
      </c>
      <c r="K68" s="175">
        <v>1</v>
      </c>
      <c r="L68" s="175"/>
      <c r="M68" s="175"/>
      <c r="N68" s="703"/>
      <c r="O68" s="703">
        <v>340</v>
      </c>
      <c r="P68" s="624"/>
      <c r="Q68" s="48"/>
      <c r="R68" s="48" t="s">
        <v>2584</v>
      </c>
      <c r="S68" s="176">
        <v>46162</v>
      </c>
      <c r="T68" s="211">
        <v>46156</v>
      </c>
      <c r="U68" s="176"/>
      <c r="V68" s="176">
        <v>46158</v>
      </c>
      <c r="W68" s="213" t="s">
        <v>2505</v>
      </c>
      <c r="X68" s="159" t="s">
        <v>2641</v>
      </c>
    </row>
    <row r="69" s="3" customFormat="1" ht="25.5" hidden="1" customHeight="1" spans="1:24">
      <c r="A69" s="208">
        <f t="shared" si="6"/>
        <v>66</v>
      </c>
      <c r="B69" s="48" t="s">
        <v>2597</v>
      </c>
      <c r="C69" s="49" t="s">
        <v>342</v>
      </c>
      <c r="D69" s="50" t="s">
        <v>2782</v>
      </c>
      <c r="E69" s="50" t="s">
        <v>2783</v>
      </c>
      <c r="F69" s="52">
        <v>46114</v>
      </c>
      <c r="G69" s="52">
        <v>46170</v>
      </c>
      <c r="H69" s="52">
        <v>46170</v>
      </c>
      <c r="I69" s="53">
        <v>46133</v>
      </c>
      <c r="J69" s="175">
        <f>SUM(L69:O69)</f>
        <v>2100</v>
      </c>
      <c r="K69" s="175">
        <v>1</v>
      </c>
      <c r="L69" s="175">
        <v>756</v>
      </c>
      <c r="M69" s="175">
        <v>1344</v>
      </c>
      <c r="N69" s="703"/>
      <c r="O69" s="703"/>
      <c r="P69" s="624"/>
      <c r="Q69" s="48"/>
      <c r="R69" s="48" t="s">
        <v>2584</v>
      </c>
      <c r="S69" s="176">
        <v>46170</v>
      </c>
      <c r="T69" s="211">
        <v>46163</v>
      </c>
      <c r="U69" s="176"/>
      <c r="V69" s="176">
        <v>46165</v>
      </c>
      <c r="W69" s="213" t="s">
        <v>2505</v>
      </c>
      <c r="X69" s="159" t="s">
        <v>2784</v>
      </c>
    </row>
    <row r="70" s="3" customFormat="1" ht="25.5" hidden="1" customHeight="1" spans="1:24">
      <c r="A70" s="208">
        <f t="shared" ref="A70:A77" si="7">ROW()-3</f>
        <v>67</v>
      </c>
      <c r="B70" s="48" t="s">
        <v>2785</v>
      </c>
      <c r="C70" s="49" t="s">
        <v>1945</v>
      </c>
      <c r="D70" s="50" t="s">
        <v>2786</v>
      </c>
      <c r="E70" s="50" t="s">
        <v>2787</v>
      </c>
      <c r="F70" s="52">
        <v>46125</v>
      </c>
      <c r="G70" s="52">
        <v>46174</v>
      </c>
      <c r="H70" s="52">
        <v>46174</v>
      </c>
      <c r="I70" s="53">
        <v>46160</v>
      </c>
      <c r="J70" s="175">
        <f>SUM(L70:O70)</f>
        <v>300</v>
      </c>
      <c r="K70" s="175">
        <v>1</v>
      </c>
      <c r="L70" s="175"/>
      <c r="M70" s="175">
        <v>300</v>
      </c>
      <c r="N70" s="703"/>
      <c r="O70" s="703"/>
      <c r="P70" s="624"/>
      <c r="Q70" s="48"/>
      <c r="R70" s="48" t="s">
        <v>2584</v>
      </c>
      <c r="S70" s="211">
        <v>46174</v>
      </c>
      <c r="T70" s="211">
        <v>46176</v>
      </c>
      <c r="U70" s="176"/>
      <c r="V70" s="176">
        <v>46179</v>
      </c>
      <c r="W70" s="213" t="s">
        <v>2788</v>
      </c>
      <c r="X70" s="159" t="s">
        <v>2789</v>
      </c>
    </row>
    <row r="71" s="3" customFormat="1" ht="27" hidden="1" customHeight="1" spans="1:24">
      <c r="A71" s="208">
        <f t="shared" si="7"/>
        <v>68</v>
      </c>
      <c r="B71" s="48" t="s">
        <v>2785</v>
      </c>
      <c r="C71" s="49" t="s">
        <v>1945</v>
      </c>
      <c r="D71" s="50" t="s">
        <v>2790</v>
      </c>
      <c r="E71" s="50" t="s">
        <v>2791</v>
      </c>
      <c r="F71" s="52">
        <v>46105</v>
      </c>
      <c r="G71" s="52">
        <v>46174</v>
      </c>
      <c r="H71" s="52">
        <v>46174</v>
      </c>
      <c r="I71" s="53">
        <v>46160</v>
      </c>
      <c r="J71" s="175">
        <f>SUBTOTAL(9,L71:O71)</f>
        <v>0</v>
      </c>
      <c r="K71" s="175">
        <v>1</v>
      </c>
      <c r="L71" s="175">
        <v>900</v>
      </c>
      <c r="M71" s="175">
        <v>1000</v>
      </c>
      <c r="N71" s="703">
        <v>900</v>
      </c>
      <c r="O71" s="703"/>
      <c r="P71" s="624"/>
      <c r="Q71" s="48"/>
      <c r="R71" s="48" t="s">
        <v>2584</v>
      </c>
      <c r="S71" s="176">
        <v>46174</v>
      </c>
      <c r="T71" s="211" t="s">
        <v>2792</v>
      </c>
      <c r="U71" s="176"/>
      <c r="V71" s="176">
        <v>46179</v>
      </c>
      <c r="W71" s="213" t="s">
        <v>2793</v>
      </c>
      <c r="X71" s="159" t="s">
        <v>2794</v>
      </c>
    </row>
    <row r="72" s="3" customFormat="1" ht="27" hidden="1" customHeight="1" spans="1:24">
      <c r="A72" s="208">
        <f t="shared" si="7"/>
        <v>69</v>
      </c>
      <c r="B72" s="48" t="s">
        <v>2785</v>
      </c>
      <c r="C72" s="49" t="s">
        <v>1945</v>
      </c>
      <c r="D72" s="50" t="s">
        <v>2795</v>
      </c>
      <c r="E72" s="50" t="s">
        <v>2796</v>
      </c>
      <c r="F72" s="52">
        <v>46127</v>
      </c>
      <c r="G72" s="52">
        <v>46174</v>
      </c>
      <c r="H72" s="52">
        <v>46174</v>
      </c>
      <c r="I72" s="53">
        <v>46157</v>
      </c>
      <c r="J72" s="175">
        <f>SUBTOTAL(9,L72:O72)</f>
        <v>0</v>
      </c>
      <c r="K72" s="175">
        <v>1</v>
      </c>
      <c r="L72" s="175"/>
      <c r="M72" s="175">
        <v>300</v>
      </c>
      <c r="N72" s="703"/>
      <c r="O72" s="703"/>
      <c r="P72" s="624"/>
      <c r="Q72" s="48"/>
      <c r="R72" s="48" t="s">
        <v>2584</v>
      </c>
      <c r="S72" s="176">
        <v>46174</v>
      </c>
      <c r="T72" s="211">
        <v>46162</v>
      </c>
      <c r="U72" s="176"/>
      <c r="V72" s="176">
        <v>46165</v>
      </c>
      <c r="W72" s="213" t="s">
        <v>2797</v>
      </c>
      <c r="X72" s="159" t="s">
        <v>2778</v>
      </c>
    </row>
    <row r="73" s="3" customFormat="1" ht="25.5" hidden="1" customHeight="1" spans="1:24">
      <c r="A73" s="208">
        <f t="shared" si="7"/>
        <v>70</v>
      </c>
      <c r="B73" s="48" t="s">
        <v>2766</v>
      </c>
      <c r="C73" s="49" t="s">
        <v>1959</v>
      </c>
      <c r="D73" s="50" t="s">
        <v>2798</v>
      </c>
      <c r="E73" s="50" t="s">
        <v>2799</v>
      </c>
      <c r="F73" s="52">
        <v>46105</v>
      </c>
      <c r="G73" s="52">
        <v>46178</v>
      </c>
      <c r="H73" s="52">
        <v>46178</v>
      </c>
      <c r="I73" s="53">
        <v>46127</v>
      </c>
      <c r="J73" s="175">
        <f>SUM(L73:O73)</f>
        <v>5280</v>
      </c>
      <c r="K73" s="175">
        <v>1</v>
      </c>
      <c r="L73" s="175"/>
      <c r="M73" s="175">
        <v>2640</v>
      </c>
      <c r="N73" s="703"/>
      <c r="O73" s="703">
        <v>2640</v>
      </c>
      <c r="P73" s="316"/>
      <c r="Q73" s="49"/>
      <c r="R73" s="48" t="s">
        <v>2584</v>
      </c>
      <c r="S73" s="176">
        <v>46178</v>
      </c>
      <c r="T73" s="211" t="s">
        <v>2800</v>
      </c>
      <c r="U73" s="176"/>
      <c r="V73" s="211" t="s">
        <v>2801</v>
      </c>
      <c r="W73" s="213" t="s">
        <v>2802</v>
      </c>
      <c r="X73" s="159" t="s">
        <v>2771</v>
      </c>
    </row>
    <row r="74" s="311" customFormat="1" ht="25.5" hidden="1" customHeight="1" spans="1:24">
      <c r="A74" s="208">
        <f t="shared" si="7"/>
        <v>71</v>
      </c>
      <c r="B74" s="48" t="s">
        <v>2617</v>
      </c>
      <c r="C74" s="49" t="s">
        <v>2618</v>
      </c>
      <c r="D74" s="50" t="s">
        <v>2803</v>
      </c>
      <c r="E74" s="51" t="s">
        <v>2804</v>
      </c>
      <c r="F74" s="52">
        <v>46097</v>
      </c>
      <c r="G74" s="52">
        <v>46178</v>
      </c>
      <c r="H74" s="52">
        <v>46178</v>
      </c>
      <c r="I74" s="53">
        <v>46113</v>
      </c>
      <c r="J74" s="175">
        <f t="shared" ref="J74:J88" si="8">SUM(L74:N74)</f>
        <v>1270</v>
      </c>
      <c r="K74" s="175">
        <v>1</v>
      </c>
      <c r="L74" s="175">
        <v>500</v>
      </c>
      <c r="M74" s="175">
        <v>770</v>
      </c>
      <c r="N74" s="703"/>
      <c r="O74" s="703"/>
      <c r="P74" s="709"/>
      <c r="Q74" s="706"/>
      <c r="R74" s="48" t="s">
        <v>2584</v>
      </c>
      <c r="S74" s="176">
        <v>46178</v>
      </c>
      <c r="T74" s="211">
        <v>46162</v>
      </c>
      <c r="U74" s="211"/>
      <c r="V74" s="211">
        <v>46165</v>
      </c>
      <c r="W74" s="1291" t="s">
        <v>2805</v>
      </c>
      <c r="X74" s="159" t="s">
        <v>2671</v>
      </c>
    </row>
    <row r="75" s="311" customFormat="1" ht="25.5" hidden="1" customHeight="1" spans="1:24">
      <c r="A75" s="208">
        <f t="shared" si="7"/>
        <v>72</v>
      </c>
      <c r="B75" s="48" t="s">
        <v>2617</v>
      </c>
      <c r="C75" s="49" t="s">
        <v>2618</v>
      </c>
      <c r="D75" s="50" t="s">
        <v>2806</v>
      </c>
      <c r="E75" s="51" t="s">
        <v>2807</v>
      </c>
      <c r="F75" s="52">
        <v>46097</v>
      </c>
      <c r="G75" s="52">
        <v>46178</v>
      </c>
      <c r="H75" s="52">
        <v>46178</v>
      </c>
      <c r="I75" s="53">
        <v>46113</v>
      </c>
      <c r="J75" s="175">
        <f t="shared" si="8"/>
        <v>530</v>
      </c>
      <c r="K75" s="175">
        <v>1</v>
      </c>
      <c r="L75" s="175">
        <v>200</v>
      </c>
      <c r="M75" s="175">
        <v>330</v>
      </c>
      <c r="N75" s="703"/>
      <c r="O75" s="703"/>
      <c r="P75" s="709"/>
      <c r="Q75" s="706"/>
      <c r="R75" s="48" t="s">
        <v>2584</v>
      </c>
      <c r="S75" s="176">
        <v>46178</v>
      </c>
      <c r="T75" s="211">
        <v>46162</v>
      </c>
      <c r="U75" s="211"/>
      <c r="V75" s="211">
        <v>46165</v>
      </c>
      <c r="W75" s="1291" t="s">
        <v>2808</v>
      </c>
      <c r="X75" s="159" t="s">
        <v>2671</v>
      </c>
    </row>
    <row r="76" s="311" customFormat="1" ht="25.5" hidden="1" customHeight="1" spans="1:24">
      <c r="A76" s="208">
        <f t="shared" si="7"/>
        <v>73</v>
      </c>
      <c r="B76" s="48" t="s">
        <v>2617</v>
      </c>
      <c r="C76" s="49" t="s">
        <v>2618</v>
      </c>
      <c r="D76" s="50" t="s">
        <v>2809</v>
      </c>
      <c r="E76" s="51" t="s">
        <v>2810</v>
      </c>
      <c r="F76" s="52">
        <v>46097</v>
      </c>
      <c r="G76" s="52">
        <v>46178</v>
      </c>
      <c r="H76" s="52">
        <v>46178</v>
      </c>
      <c r="I76" s="53">
        <v>46113</v>
      </c>
      <c r="J76" s="175">
        <f t="shared" si="8"/>
        <v>1170</v>
      </c>
      <c r="K76" s="175">
        <v>1</v>
      </c>
      <c r="L76" s="175">
        <v>400</v>
      </c>
      <c r="M76" s="175">
        <v>770</v>
      </c>
      <c r="N76" s="703"/>
      <c r="O76" s="703"/>
      <c r="P76" s="709"/>
      <c r="Q76" s="706"/>
      <c r="R76" s="48" t="s">
        <v>2584</v>
      </c>
      <c r="S76" s="176">
        <v>46178</v>
      </c>
      <c r="T76" s="211">
        <v>46162</v>
      </c>
      <c r="U76" s="211"/>
      <c r="V76" s="211">
        <v>46165</v>
      </c>
      <c r="W76" s="1291" t="s">
        <v>2811</v>
      </c>
      <c r="X76" s="159" t="s">
        <v>2671</v>
      </c>
    </row>
    <row r="77" s="311" customFormat="1" ht="25.5" hidden="1" customHeight="1" spans="1:24">
      <c r="A77" s="208">
        <f t="shared" si="7"/>
        <v>74</v>
      </c>
      <c r="B77" s="48" t="s">
        <v>2617</v>
      </c>
      <c r="C77" s="49" t="s">
        <v>2618</v>
      </c>
      <c r="D77" s="50" t="s">
        <v>2812</v>
      </c>
      <c r="E77" s="51" t="s">
        <v>2813</v>
      </c>
      <c r="F77" s="52">
        <v>46097</v>
      </c>
      <c r="G77" s="52">
        <v>46178</v>
      </c>
      <c r="H77" s="52">
        <v>46178</v>
      </c>
      <c r="I77" s="53">
        <v>46113</v>
      </c>
      <c r="J77" s="175">
        <f t="shared" si="8"/>
        <v>1280</v>
      </c>
      <c r="K77" s="175">
        <v>1</v>
      </c>
      <c r="L77" s="175">
        <v>400</v>
      </c>
      <c r="M77" s="175">
        <v>880</v>
      </c>
      <c r="N77" s="703"/>
      <c r="O77" s="703"/>
      <c r="P77" s="709"/>
      <c r="Q77" s="706"/>
      <c r="R77" s="48" t="s">
        <v>2584</v>
      </c>
      <c r="S77" s="176">
        <v>46178</v>
      </c>
      <c r="T77" s="211">
        <v>46162</v>
      </c>
      <c r="U77" s="211"/>
      <c r="V77" s="211">
        <v>46165</v>
      </c>
      <c r="W77" s="1291" t="s">
        <v>2814</v>
      </c>
      <c r="X77" s="159" t="s">
        <v>2671</v>
      </c>
    </row>
    <row r="78" s="311" customFormat="1" ht="25.5" hidden="1" customHeight="1" spans="1:24">
      <c r="A78" s="208">
        <f t="shared" ref="A78:A95" si="9">ROW()-3</f>
        <v>75</v>
      </c>
      <c r="B78" s="48" t="s">
        <v>2617</v>
      </c>
      <c r="C78" s="49" t="s">
        <v>2618</v>
      </c>
      <c r="D78" s="50" t="s">
        <v>2815</v>
      </c>
      <c r="E78" s="51" t="s">
        <v>2816</v>
      </c>
      <c r="F78" s="52">
        <v>46097</v>
      </c>
      <c r="G78" s="52">
        <v>46178</v>
      </c>
      <c r="H78" s="52">
        <v>46178</v>
      </c>
      <c r="I78" s="53">
        <v>46113</v>
      </c>
      <c r="J78" s="175">
        <f t="shared" si="8"/>
        <v>740</v>
      </c>
      <c r="K78" s="175">
        <v>1</v>
      </c>
      <c r="L78" s="175">
        <v>300</v>
      </c>
      <c r="M78" s="175">
        <v>440</v>
      </c>
      <c r="N78" s="703"/>
      <c r="O78" s="703"/>
      <c r="P78" s="709"/>
      <c r="Q78" s="706"/>
      <c r="R78" s="48" t="s">
        <v>2584</v>
      </c>
      <c r="S78" s="176">
        <v>46178</v>
      </c>
      <c r="T78" s="211">
        <v>46162</v>
      </c>
      <c r="U78" s="211"/>
      <c r="V78" s="211">
        <v>46165</v>
      </c>
      <c r="W78" s="1291" t="s">
        <v>2817</v>
      </c>
      <c r="X78" s="159" t="s">
        <v>2671</v>
      </c>
    </row>
    <row r="79" s="311" customFormat="1" ht="25.5" hidden="1" customHeight="1" spans="1:24">
      <c r="A79" s="208">
        <f t="shared" si="9"/>
        <v>76</v>
      </c>
      <c r="B79" s="48" t="s">
        <v>2617</v>
      </c>
      <c r="C79" s="49" t="s">
        <v>2618</v>
      </c>
      <c r="D79" s="50" t="s">
        <v>2818</v>
      </c>
      <c r="E79" s="51" t="s">
        <v>2819</v>
      </c>
      <c r="F79" s="52">
        <v>46097</v>
      </c>
      <c r="G79" s="52">
        <v>46178</v>
      </c>
      <c r="H79" s="52">
        <v>46178</v>
      </c>
      <c r="I79" s="53">
        <v>46113</v>
      </c>
      <c r="J79" s="175">
        <f t="shared" si="8"/>
        <v>640</v>
      </c>
      <c r="K79" s="175">
        <v>1</v>
      </c>
      <c r="L79" s="175">
        <v>200</v>
      </c>
      <c r="M79" s="175">
        <v>440</v>
      </c>
      <c r="N79" s="703"/>
      <c r="O79" s="703"/>
      <c r="P79" s="709"/>
      <c r="Q79" s="706"/>
      <c r="R79" s="48" t="s">
        <v>2584</v>
      </c>
      <c r="S79" s="176">
        <v>46178</v>
      </c>
      <c r="T79" s="211">
        <v>46176</v>
      </c>
      <c r="U79" s="211"/>
      <c r="V79" s="211">
        <v>46179</v>
      </c>
      <c r="W79" s="1291" t="s">
        <v>2820</v>
      </c>
      <c r="X79" s="159" t="s">
        <v>2671</v>
      </c>
    </row>
    <row r="80" s="311" customFormat="1" ht="25.5" hidden="1" customHeight="1" spans="1:24">
      <c r="A80" s="208">
        <f t="shared" si="9"/>
        <v>77</v>
      </c>
      <c r="B80" s="48" t="s">
        <v>2617</v>
      </c>
      <c r="C80" s="49" t="s">
        <v>2618</v>
      </c>
      <c r="D80" s="50" t="s">
        <v>2821</v>
      </c>
      <c r="E80" s="51" t="s">
        <v>2822</v>
      </c>
      <c r="F80" s="52">
        <v>46097</v>
      </c>
      <c r="G80" s="52">
        <v>46178</v>
      </c>
      <c r="H80" s="52">
        <v>46178</v>
      </c>
      <c r="I80" s="53">
        <v>46113</v>
      </c>
      <c r="J80" s="175">
        <f t="shared" si="8"/>
        <v>750</v>
      </c>
      <c r="K80" s="175">
        <v>1</v>
      </c>
      <c r="L80" s="175">
        <v>200</v>
      </c>
      <c r="M80" s="175">
        <v>550</v>
      </c>
      <c r="N80" s="703"/>
      <c r="O80" s="703"/>
      <c r="P80" s="709"/>
      <c r="Q80" s="706"/>
      <c r="R80" s="48" t="s">
        <v>2584</v>
      </c>
      <c r="S80" s="176">
        <v>46178</v>
      </c>
      <c r="T80" s="211">
        <v>46176</v>
      </c>
      <c r="U80" s="211"/>
      <c r="V80" s="211">
        <v>46179</v>
      </c>
      <c r="W80" s="1291" t="s">
        <v>2823</v>
      </c>
      <c r="X80" s="159" t="s">
        <v>2671</v>
      </c>
    </row>
    <row r="81" s="311" customFormat="1" ht="25.5" hidden="1" customHeight="1" spans="1:24">
      <c r="A81" s="208">
        <f t="shared" si="9"/>
        <v>78</v>
      </c>
      <c r="B81" s="48" t="s">
        <v>2617</v>
      </c>
      <c r="C81" s="49" t="s">
        <v>2618</v>
      </c>
      <c r="D81" s="50" t="s">
        <v>2824</v>
      </c>
      <c r="E81" s="51" t="s">
        <v>2825</v>
      </c>
      <c r="F81" s="52">
        <v>46097</v>
      </c>
      <c r="G81" s="52">
        <v>46178</v>
      </c>
      <c r="H81" s="52">
        <v>46178</v>
      </c>
      <c r="I81" s="53">
        <v>46113</v>
      </c>
      <c r="J81" s="175">
        <f t="shared" si="8"/>
        <v>740</v>
      </c>
      <c r="K81" s="175">
        <v>1</v>
      </c>
      <c r="L81" s="175">
        <v>300</v>
      </c>
      <c r="M81" s="175">
        <v>440</v>
      </c>
      <c r="N81" s="703"/>
      <c r="O81" s="703"/>
      <c r="P81" s="709"/>
      <c r="Q81" s="706"/>
      <c r="R81" s="48" t="s">
        <v>2584</v>
      </c>
      <c r="S81" s="176">
        <v>46178</v>
      </c>
      <c r="T81" s="211">
        <v>46176</v>
      </c>
      <c r="U81" s="211"/>
      <c r="V81" s="211">
        <v>46179</v>
      </c>
      <c r="W81" s="1291" t="s">
        <v>2826</v>
      </c>
      <c r="X81" s="159" t="s">
        <v>2671</v>
      </c>
    </row>
    <row r="82" s="311" customFormat="1" ht="25.5" hidden="1" customHeight="1" spans="1:24">
      <c r="A82" s="208">
        <f t="shared" si="9"/>
        <v>79</v>
      </c>
      <c r="B82" s="48" t="s">
        <v>2617</v>
      </c>
      <c r="C82" s="49" t="s">
        <v>2618</v>
      </c>
      <c r="D82" s="50" t="s">
        <v>2827</v>
      </c>
      <c r="E82" s="51" t="s">
        <v>2828</v>
      </c>
      <c r="F82" s="52">
        <v>46097</v>
      </c>
      <c r="G82" s="52">
        <v>46178</v>
      </c>
      <c r="H82" s="52">
        <v>46178</v>
      </c>
      <c r="I82" s="53">
        <v>46113</v>
      </c>
      <c r="J82" s="175">
        <f t="shared" si="8"/>
        <v>850</v>
      </c>
      <c r="K82" s="175">
        <v>1</v>
      </c>
      <c r="L82" s="175">
        <v>300</v>
      </c>
      <c r="M82" s="175">
        <v>550</v>
      </c>
      <c r="N82" s="703"/>
      <c r="O82" s="703"/>
      <c r="P82" s="709"/>
      <c r="Q82" s="706"/>
      <c r="R82" s="48" t="s">
        <v>2584</v>
      </c>
      <c r="S82" s="176">
        <v>46178</v>
      </c>
      <c r="T82" s="211">
        <v>46176</v>
      </c>
      <c r="U82" s="211"/>
      <c r="V82" s="211">
        <v>46179</v>
      </c>
      <c r="W82" s="1291" t="s">
        <v>2829</v>
      </c>
      <c r="X82" s="159" t="s">
        <v>2671</v>
      </c>
    </row>
    <row r="83" s="311" customFormat="1" ht="25.5" hidden="1" customHeight="1" spans="1:24">
      <c r="A83" s="208">
        <f t="shared" si="9"/>
        <v>80</v>
      </c>
      <c r="B83" s="48" t="s">
        <v>2617</v>
      </c>
      <c r="C83" s="49" t="s">
        <v>2618</v>
      </c>
      <c r="D83" s="50" t="s">
        <v>2830</v>
      </c>
      <c r="E83" s="51" t="s">
        <v>2831</v>
      </c>
      <c r="F83" s="52">
        <v>46097</v>
      </c>
      <c r="G83" s="52">
        <v>46178</v>
      </c>
      <c r="H83" s="52">
        <v>46178</v>
      </c>
      <c r="I83" s="53">
        <v>46113</v>
      </c>
      <c r="J83" s="175">
        <f t="shared" si="8"/>
        <v>1170</v>
      </c>
      <c r="K83" s="175">
        <v>1</v>
      </c>
      <c r="L83" s="175">
        <v>400</v>
      </c>
      <c r="M83" s="175">
        <v>770</v>
      </c>
      <c r="N83" s="703"/>
      <c r="O83" s="703"/>
      <c r="P83" s="709"/>
      <c r="Q83" s="706"/>
      <c r="R83" s="48" t="s">
        <v>2584</v>
      </c>
      <c r="S83" s="176">
        <v>46178</v>
      </c>
      <c r="T83" s="211">
        <v>46176</v>
      </c>
      <c r="U83" s="211"/>
      <c r="V83" s="211">
        <v>46179</v>
      </c>
      <c r="W83" s="1291" t="s">
        <v>2832</v>
      </c>
      <c r="X83" s="159" t="s">
        <v>2671</v>
      </c>
    </row>
    <row r="84" s="311" customFormat="1" ht="25.5" hidden="1" customHeight="1" spans="1:24">
      <c r="A84" s="208">
        <f t="shared" si="9"/>
        <v>81</v>
      </c>
      <c r="B84" s="48" t="s">
        <v>2617</v>
      </c>
      <c r="C84" s="49" t="s">
        <v>2618</v>
      </c>
      <c r="D84" s="50" t="s">
        <v>2833</v>
      </c>
      <c r="E84" s="51" t="s">
        <v>2834</v>
      </c>
      <c r="F84" s="52">
        <v>46097</v>
      </c>
      <c r="G84" s="52">
        <v>46178</v>
      </c>
      <c r="H84" s="52">
        <v>46178</v>
      </c>
      <c r="I84" s="53">
        <v>46113</v>
      </c>
      <c r="J84" s="175">
        <f t="shared" si="8"/>
        <v>850</v>
      </c>
      <c r="K84" s="175">
        <v>1</v>
      </c>
      <c r="L84" s="175">
        <v>300</v>
      </c>
      <c r="M84" s="175">
        <v>550</v>
      </c>
      <c r="N84" s="703"/>
      <c r="O84" s="703"/>
      <c r="P84" s="709"/>
      <c r="Q84" s="706"/>
      <c r="R84" s="48" t="s">
        <v>2584</v>
      </c>
      <c r="S84" s="176">
        <v>46178</v>
      </c>
      <c r="T84" s="211">
        <v>46176</v>
      </c>
      <c r="U84" s="211"/>
      <c r="V84" s="211">
        <v>46179</v>
      </c>
      <c r="W84" s="1291" t="s">
        <v>2835</v>
      </c>
      <c r="X84" s="159" t="s">
        <v>2671</v>
      </c>
    </row>
    <row r="85" s="311" customFormat="1" ht="25.5" hidden="1" customHeight="1" spans="1:24">
      <c r="A85" s="208">
        <f t="shared" si="9"/>
        <v>82</v>
      </c>
      <c r="B85" s="48" t="s">
        <v>2617</v>
      </c>
      <c r="C85" s="49" t="s">
        <v>2618</v>
      </c>
      <c r="D85" s="50" t="s">
        <v>2836</v>
      </c>
      <c r="E85" s="51" t="s">
        <v>2837</v>
      </c>
      <c r="F85" s="52">
        <v>46097</v>
      </c>
      <c r="G85" s="52">
        <v>46178</v>
      </c>
      <c r="H85" s="52">
        <v>46178</v>
      </c>
      <c r="I85" s="53">
        <v>46113</v>
      </c>
      <c r="J85" s="175">
        <f t="shared" si="8"/>
        <v>850</v>
      </c>
      <c r="K85" s="175">
        <v>1</v>
      </c>
      <c r="L85" s="175">
        <v>300</v>
      </c>
      <c r="M85" s="175">
        <v>550</v>
      </c>
      <c r="N85" s="703"/>
      <c r="O85" s="703"/>
      <c r="P85" s="709"/>
      <c r="Q85" s="706"/>
      <c r="R85" s="48" t="s">
        <v>2584</v>
      </c>
      <c r="S85" s="176">
        <v>46178</v>
      </c>
      <c r="T85" s="211">
        <v>46176</v>
      </c>
      <c r="U85" s="211"/>
      <c r="V85" s="211">
        <v>46179</v>
      </c>
      <c r="W85" s="1291" t="s">
        <v>2838</v>
      </c>
      <c r="X85" s="159" t="s">
        <v>2671</v>
      </c>
    </row>
    <row r="86" s="311" customFormat="1" ht="25.5" hidden="1" customHeight="1" spans="1:24">
      <c r="A86" s="208">
        <f t="shared" si="9"/>
        <v>83</v>
      </c>
      <c r="B86" s="48" t="s">
        <v>2617</v>
      </c>
      <c r="C86" s="49" t="s">
        <v>2618</v>
      </c>
      <c r="D86" s="50" t="s">
        <v>2839</v>
      </c>
      <c r="E86" s="51" t="s">
        <v>2840</v>
      </c>
      <c r="F86" s="52">
        <v>46097</v>
      </c>
      <c r="G86" s="52">
        <v>46178</v>
      </c>
      <c r="H86" s="52">
        <v>46178</v>
      </c>
      <c r="I86" s="53">
        <v>46113</v>
      </c>
      <c r="J86" s="175">
        <f t="shared" si="8"/>
        <v>850</v>
      </c>
      <c r="K86" s="175">
        <v>1</v>
      </c>
      <c r="L86" s="175">
        <v>300</v>
      </c>
      <c r="M86" s="175">
        <v>550</v>
      </c>
      <c r="N86" s="703"/>
      <c r="O86" s="703"/>
      <c r="P86" s="709"/>
      <c r="Q86" s="706"/>
      <c r="R86" s="48" t="s">
        <v>2584</v>
      </c>
      <c r="S86" s="176">
        <v>46178</v>
      </c>
      <c r="T86" s="211">
        <v>46163</v>
      </c>
      <c r="U86" s="211"/>
      <c r="V86" s="211">
        <v>46165</v>
      </c>
      <c r="W86" s="1291" t="s">
        <v>2841</v>
      </c>
      <c r="X86" s="159" t="s">
        <v>2671</v>
      </c>
    </row>
    <row r="87" s="311" customFormat="1" ht="25.5" hidden="1" customHeight="1" spans="1:24">
      <c r="A87" s="208">
        <f t="shared" si="9"/>
        <v>84</v>
      </c>
      <c r="B87" s="48" t="s">
        <v>2617</v>
      </c>
      <c r="C87" s="49" t="s">
        <v>2618</v>
      </c>
      <c r="D87" s="50" t="s">
        <v>2842</v>
      </c>
      <c r="E87" s="51" t="s">
        <v>2843</v>
      </c>
      <c r="F87" s="52">
        <v>46097</v>
      </c>
      <c r="G87" s="52">
        <v>46178</v>
      </c>
      <c r="H87" s="52">
        <v>46178</v>
      </c>
      <c r="I87" s="53">
        <v>46113</v>
      </c>
      <c r="J87" s="175">
        <f t="shared" si="8"/>
        <v>1060</v>
      </c>
      <c r="K87" s="175">
        <v>1</v>
      </c>
      <c r="L87" s="175">
        <v>400</v>
      </c>
      <c r="M87" s="175">
        <v>660</v>
      </c>
      <c r="N87" s="703"/>
      <c r="O87" s="703"/>
      <c r="P87" s="709"/>
      <c r="Q87" s="706"/>
      <c r="R87" s="48" t="s">
        <v>2584</v>
      </c>
      <c r="S87" s="176">
        <v>46178</v>
      </c>
      <c r="T87" s="211">
        <v>46163</v>
      </c>
      <c r="U87" s="211"/>
      <c r="V87" s="211">
        <v>46165</v>
      </c>
      <c r="W87" s="1291" t="s">
        <v>2844</v>
      </c>
      <c r="X87" s="159" t="s">
        <v>2671</v>
      </c>
    </row>
    <row r="88" s="3" customFormat="1" ht="25.5" hidden="1" customHeight="1" spans="1:24">
      <c r="A88" s="208">
        <f t="shared" ref="A88" si="10">ROW()-3</f>
        <v>85</v>
      </c>
      <c r="B88" s="48" t="s">
        <v>2845</v>
      </c>
      <c r="C88" s="49" t="s">
        <v>645</v>
      </c>
      <c r="D88" s="50" t="s">
        <v>2846</v>
      </c>
      <c r="E88" s="50" t="s">
        <v>2847</v>
      </c>
      <c r="F88" s="52">
        <v>46080</v>
      </c>
      <c r="G88" s="711">
        <v>46182</v>
      </c>
      <c r="H88" s="711">
        <v>46182</v>
      </c>
      <c r="I88" s="53">
        <v>46146</v>
      </c>
      <c r="J88" s="175">
        <f t="shared" si="8"/>
        <v>1600</v>
      </c>
      <c r="K88" s="175">
        <v>1</v>
      </c>
      <c r="L88" s="175">
        <v>800</v>
      </c>
      <c r="M88" s="175"/>
      <c r="N88" s="703">
        <v>800</v>
      </c>
      <c r="O88" s="703"/>
      <c r="P88" s="624"/>
      <c r="Q88" s="48"/>
      <c r="R88" s="48" t="s">
        <v>2584</v>
      </c>
      <c r="S88" s="176">
        <v>46182</v>
      </c>
      <c r="T88" s="211">
        <v>46177</v>
      </c>
      <c r="U88" s="176"/>
      <c r="V88" s="176">
        <v>46171</v>
      </c>
      <c r="W88" s="213"/>
      <c r="X88" s="159" t="s">
        <v>2758</v>
      </c>
    </row>
    <row r="89" s="3" customFormat="1" ht="25.5" hidden="1" customHeight="1" spans="1:24">
      <c r="A89" s="208">
        <f t="shared" si="9"/>
        <v>86</v>
      </c>
      <c r="B89" s="48" t="s">
        <v>1944</v>
      </c>
      <c r="C89" s="49" t="s">
        <v>1945</v>
      </c>
      <c r="D89" s="712" t="s">
        <v>1949</v>
      </c>
      <c r="E89" s="50" t="s">
        <v>1950</v>
      </c>
      <c r="F89" s="52">
        <v>46092</v>
      </c>
      <c r="G89" s="52">
        <v>46183</v>
      </c>
      <c r="H89" s="52">
        <v>46183</v>
      </c>
      <c r="I89" s="53">
        <v>46140</v>
      </c>
      <c r="J89" s="175">
        <f>SUBTOTAL(9,L89:O89)</f>
        <v>0</v>
      </c>
      <c r="K89" s="175">
        <v>1</v>
      </c>
      <c r="L89" s="175"/>
      <c r="M89" s="175">
        <v>1136</v>
      </c>
      <c r="N89" s="703"/>
      <c r="O89" s="703"/>
      <c r="P89" s="624"/>
      <c r="Q89" s="48"/>
      <c r="R89" s="48" t="s">
        <v>2584</v>
      </c>
      <c r="S89" s="176">
        <v>46185</v>
      </c>
      <c r="T89" s="211">
        <v>46176</v>
      </c>
      <c r="U89" s="176"/>
      <c r="V89" s="176">
        <v>46179</v>
      </c>
      <c r="W89" s="712">
        <v>2000009967</v>
      </c>
      <c r="X89" s="3" t="s">
        <v>2778</v>
      </c>
    </row>
    <row r="90" s="3" customFormat="1" ht="25.5" hidden="1" customHeight="1" spans="1:24">
      <c r="A90" s="208">
        <f t="shared" si="9"/>
        <v>87</v>
      </c>
      <c r="B90" s="48" t="s">
        <v>2580</v>
      </c>
      <c r="C90" s="48" t="s">
        <v>124</v>
      </c>
      <c r="D90" s="50" t="s">
        <v>2848</v>
      </c>
      <c r="E90" s="50" t="s">
        <v>2849</v>
      </c>
      <c r="F90" s="52">
        <v>46063</v>
      </c>
      <c r="G90" s="52">
        <v>46185</v>
      </c>
      <c r="H90" s="52">
        <v>46185</v>
      </c>
      <c r="I90" s="53">
        <v>46139</v>
      </c>
      <c r="J90" s="175">
        <f>SUM(L90:O90)</f>
        <v>500</v>
      </c>
      <c r="K90" s="175">
        <v>1</v>
      </c>
      <c r="L90" s="175"/>
      <c r="M90" s="175"/>
      <c r="N90" s="703"/>
      <c r="O90" s="175">
        <v>500</v>
      </c>
      <c r="P90" s="49"/>
      <c r="Q90" s="49"/>
      <c r="R90" s="48" t="s">
        <v>2584</v>
      </c>
      <c r="S90" s="176">
        <v>46126</v>
      </c>
      <c r="T90" s="211">
        <v>46177</v>
      </c>
      <c r="U90" s="176"/>
      <c r="V90" s="176">
        <v>46179</v>
      </c>
      <c r="W90" s="213" t="s">
        <v>2850</v>
      </c>
      <c r="X90" s="159" t="s">
        <v>2609</v>
      </c>
    </row>
    <row r="91" s="3" customFormat="1" ht="25.5" hidden="1" customHeight="1" spans="1:24">
      <c r="A91" s="208">
        <f t="shared" si="9"/>
        <v>88</v>
      </c>
      <c r="B91" s="48" t="s">
        <v>2580</v>
      </c>
      <c r="C91" s="49" t="s">
        <v>124</v>
      </c>
      <c r="D91" s="50" t="s">
        <v>2851</v>
      </c>
      <c r="E91" s="50" t="s">
        <v>2852</v>
      </c>
      <c r="F91" s="52">
        <v>46063</v>
      </c>
      <c r="G91" s="52">
        <v>46185</v>
      </c>
      <c r="H91" s="52">
        <v>46185</v>
      </c>
      <c r="I91" s="53">
        <v>46161</v>
      </c>
      <c r="J91" s="175">
        <f>SUM(L91:O91)</f>
        <v>1875</v>
      </c>
      <c r="K91" s="175">
        <v>1</v>
      </c>
      <c r="L91" s="175"/>
      <c r="M91" s="175">
        <v>1875</v>
      </c>
      <c r="N91" s="703"/>
      <c r="O91" s="703"/>
      <c r="P91" s="624"/>
      <c r="Q91" s="48"/>
      <c r="R91" s="48" t="s">
        <v>2584</v>
      </c>
      <c r="S91" s="176">
        <v>46185</v>
      </c>
      <c r="T91" s="317">
        <v>46183</v>
      </c>
      <c r="U91" s="176"/>
      <c r="V91" s="176">
        <v>46186</v>
      </c>
      <c r="W91" s="213" t="s">
        <v>2853</v>
      </c>
      <c r="X91" s="159" t="s">
        <v>2854</v>
      </c>
    </row>
    <row r="92" s="3" customFormat="1" ht="25.5" hidden="1" customHeight="1" spans="1:24">
      <c r="A92" s="208">
        <f t="shared" si="9"/>
        <v>89</v>
      </c>
      <c r="B92" s="48" t="s">
        <v>2580</v>
      </c>
      <c r="C92" s="49" t="s">
        <v>124</v>
      </c>
      <c r="D92" s="50" t="s">
        <v>2855</v>
      </c>
      <c r="E92" s="50" t="s">
        <v>2856</v>
      </c>
      <c r="F92" s="52">
        <v>46063</v>
      </c>
      <c r="G92" s="52">
        <v>46185</v>
      </c>
      <c r="H92" s="52">
        <v>46185</v>
      </c>
      <c r="I92" s="53">
        <v>46161</v>
      </c>
      <c r="J92" s="175">
        <f>SUM(L92:O92)</f>
        <v>668</v>
      </c>
      <c r="K92" s="175">
        <v>1</v>
      </c>
      <c r="L92" s="175"/>
      <c r="M92" s="175">
        <v>668</v>
      </c>
      <c r="N92" s="703"/>
      <c r="O92" s="703"/>
      <c r="P92" s="624"/>
      <c r="Q92" s="48"/>
      <c r="R92" s="48" t="s">
        <v>2584</v>
      </c>
      <c r="S92" s="176">
        <v>46185</v>
      </c>
      <c r="T92" s="308">
        <v>46183</v>
      </c>
      <c r="U92" s="176"/>
      <c r="V92" s="176">
        <v>46186</v>
      </c>
      <c r="W92" s="213" t="s">
        <v>2857</v>
      </c>
      <c r="X92" s="159" t="s">
        <v>2854</v>
      </c>
    </row>
    <row r="93" s="3" customFormat="1" ht="25.5" hidden="1" customHeight="1" spans="1:24">
      <c r="A93" s="208">
        <f t="shared" si="9"/>
        <v>90</v>
      </c>
      <c r="B93" s="48" t="s">
        <v>2858</v>
      </c>
      <c r="C93" s="49" t="s">
        <v>645</v>
      </c>
      <c r="D93" s="50" t="s">
        <v>2859</v>
      </c>
      <c r="E93" s="50" t="s">
        <v>2860</v>
      </c>
      <c r="F93" s="52">
        <v>46113</v>
      </c>
      <c r="G93" s="52">
        <v>46185</v>
      </c>
      <c r="H93" s="52">
        <v>46185</v>
      </c>
      <c r="I93" s="53">
        <v>46139</v>
      </c>
      <c r="J93" s="175">
        <f>SUBTOTAL(9,L93:O93)</f>
        <v>0</v>
      </c>
      <c r="K93" s="175">
        <v>1</v>
      </c>
      <c r="L93" s="175">
        <v>680</v>
      </c>
      <c r="M93" s="175">
        <v>500</v>
      </c>
      <c r="N93" s="703">
        <v>680</v>
      </c>
      <c r="O93" s="703"/>
      <c r="P93" s="624"/>
      <c r="Q93" s="48"/>
      <c r="R93" s="48" t="s">
        <v>2584</v>
      </c>
      <c r="S93" s="176">
        <v>46185</v>
      </c>
      <c r="T93" s="308">
        <v>46183</v>
      </c>
      <c r="U93" s="176"/>
      <c r="V93" s="211" t="s">
        <v>2861</v>
      </c>
      <c r="W93" s="713" t="s">
        <v>2862</v>
      </c>
      <c r="X93" s="159" t="s">
        <v>2863</v>
      </c>
    </row>
    <row r="94" s="3" customFormat="1" ht="25.5" hidden="1" customHeight="1" spans="1:24">
      <c r="A94" s="208">
        <f t="shared" si="9"/>
        <v>91</v>
      </c>
      <c r="B94" s="48" t="s">
        <v>2864</v>
      </c>
      <c r="C94" s="49" t="s">
        <v>645</v>
      </c>
      <c r="D94" s="50" t="s">
        <v>2865</v>
      </c>
      <c r="E94" s="50" t="s">
        <v>2866</v>
      </c>
      <c r="F94" s="52">
        <v>46156</v>
      </c>
      <c r="G94" s="52">
        <v>46185</v>
      </c>
      <c r="H94" s="52">
        <v>46185</v>
      </c>
      <c r="I94" s="53">
        <v>46160</v>
      </c>
      <c r="J94" s="175">
        <f>SUM(L94:O94)</f>
        <v>500</v>
      </c>
      <c r="K94" s="175">
        <v>1</v>
      </c>
      <c r="L94" s="175"/>
      <c r="M94" s="175">
        <v>500</v>
      </c>
      <c r="N94" s="703"/>
      <c r="O94" s="703"/>
      <c r="P94" s="624"/>
      <c r="Q94" s="48"/>
      <c r="R94" s="48" t="s">
        <v>2584</v>
      </c>
      <c r="S94" s="176">
        <v>46185</v>
      </c>
      <c r="T94" s="308">
        <v>46183</v>
      </c>
      <c r="U94" s="176"/>
      <c r="V94" s="176">
        <v>46186</v>
      </c>
      <c r="W94" s="213"/>
      <c r="X94" s="159" t="s">
        <v>2778</v>
      </c>
    </row>
    <row r="95" s="3" customFormat="1" ht="27" hidden="1" customHeight="1" spans="1:24">
      <c r="A95" s="208">
        <f t="shared" si="9"/>
        <v>92</v>
      </c>
      <c r="B95" s="48" t="s">
        <v>2617</v>
      </c>
      <c r="C95" s="49" t="s">
        <v>2867</v>
      </c>
      <c r="D95" s="50" t="s">
        <v>2868</v>
      </c>
      <c r="E95" s="50" t="s">
        <v>2869</v>
      </c>
      <c r="F95" s="52">
        <v>46139</v>
      </c>
      <c r="G95" s="52">
        <v>46189</v>
      </c>
      <c r="H95" s="52">
        <v>46189</v>
      </c>
      <c r="I95" s="53">
        <v>46140</v>
      </c>
      <c r="J95" s="175">
        <f t="shared" ref="J95:J101" si="11">SUBTOTAL(9,L95:O95)</f>
        <v>0</v>
      </c>
      <c r="K95" s="175">
        <v>1</v>
      </c>
      <c r="L95" s="175">
        <v>300</v>
      </c>
      <c r="M95" s="175">
        <v>660</v>
      </c>
      <c r="N95" s="703"/>
      <c r="O95" s="703"/>
      <c r="P95" s="624"/>
      <c r="Q95" s="48"/>
      <c r="R95" s="48" t="s">
        <v>2584</v>
      </c>
      <c r="S95" s="176">
        <v>46189</v>
      </c>
      <c r="T95" s="308">
        <v>46183</v>
      </c>
      <c r="U95" s="176"/>
      <c r="V95" s="176">
        <v>46186</v>
      </c>
      <c r="W95" s="1284" t="s">
        <v>2870</v>
      </c>
      <c r="X95" s="159" t="s">
        <v>2871</v>
      </c>
    </row>
    <row r="96" s="3" customFormat="1" ht="27" hidden="1" customHeight="1" spans="1:24">
      <c r="A96" s="208">
        <f t="shared" ref="A96:A106" si="12">ROW()-3</f>
        <v>93</v>
      </c>
      <c r="B96" s="48" t="s">
        <v>2617</v>
      </c>
      <c r="C96" s="49" t="s">
        <v>2867</v>
      </c>
      <c r="D96" s="50" t="s">
        <v>2872</v>
      </c>
      <c r="E96" s="50" t="s">
        <v>2873</v>
      </c>
      <c r="F96" s="52">
        <v>46139</v>
      </c>
      <c r="G96" s="52">
        <v>46189</v>
      </c>
      <c r="H96" s="52">
        <v>46189</v>
      </c>
      <c r="I96" s="53">
        <v>46140</v>
      </c>
      <c r="J96" s="175">
        <f t="shared" si="11"/>
        <v>0</v>
      </c>
      <c r="K96" s="175">
        <v>1</v>
      </c>
      <c r="L96" s="175">
        <v>200</v>
      </c>
      <c r="M96" s="175">
        <v>550</v>
      </c>
      <c r="N96" s="703"/>
      <c r="O96" s="703"/>
      <c r="P96" s="624"/>
      <c r="Q96" s="48"/>
      <c r="R96" s="48" t="s">
        <v>2584</v>
      </c>
      <c r="S96" s="176">
        <v>46189</v>
      </c>
      <c r="T96" s="308">
        <v>46183</v>
      </c>
      <c r="U96" s="176"/>
      <c r="V96" s="176">
        <v>46186</v>
      </c>
      <c r="W96" s="1284" t="s">
        <v>2874</v>
      </c>
      <c r="X96" s="159" t="s">
        <v>2871</v>
      </c>
    </row>
    <row r="97" s="3" customFormat="1" ht="27" hidden="1" customHeight="1" spans="1:24">
      <c r="A97" s="208">
        <f t="shared" si="12"/>
        <v>94</v>
      </c>
      <c r="B97" s="48" t="s">
        <v>2617</v>
      </c>
      <c r="C97" s="49" t="s">
        <v>2867</v>
      </c>
      <c r="D97" s="50" t="s">
        <v>2875</v>
      </c>
      <c r="E97" s="50" t="s">
        <v>2876</v>
      </c>
      <c r="F97" s="52">
        <v>46139</v>
      </c>
      <c r="G97" s="52">
        <v>46189</v>
      </c>
      <c r="H97" s="52">
        <v>46189</v>
      </c>
      <c r="I97" s="53">
        <v>46140</v>
      </c>
      <c r="J97" s="175">
        <f t="shared" si="11"/>
        <v>0</v>
      </c>
      <c r="K97" s="175">
        <v>1</v>
      </c>
      <c r="L97" s="175">
        <v>200</v>
      </c>
      <c r="M97" s="175">
        <v>440</v>
      </c>
      <c r="N97" s="703"/>
      <c r="O97" s="703"/>
      <c r="P97" s="624"/>
      <c r="Q97" s="48"/>
      <c r="R97" s="48" t="s">
        <v>2584</v>
      </c>
      <c r="S97" s="176">
        <v>46189</v>
      </c>
      <c r="T97" s="308">
        <v>46183</v>
      </c>
      <c r="U97" s="176"/>
      <c r="V97" s="176">
        <v>46186</v>
      </c>
      <c r="W97" s="1284" t="s">
        <v>2877</v>
      </c>
      <c r="X97" s="159" t="s">
        <v>2871</v>
      </c>
    </row>
    <row r="98" s="3" customFormat="1" ht="27" hidden="1" customHeight="1" spans="1:24">
      <c r="A98" s="208">
        <f t="shared" si="12"/>
        <v>95</v>
      </c>
      <c r="B98" s="48" t="s">
        <v>2617</v>
      </c>
      <c r="C98" s="49" t="s">
        <v>2867</v>
      </c>
      <c r="D98" s="50" t="s">
        <v>2878</v>
      </c>
      <c r="E98" s="50" t="s">
        <v>2879</v>
      </c>
      <c r="F98" s="52">
        <v>46139</v>
      </c>
      <c r="G98" s="52">
        <v>46189</v>
      </c>
      <c r="H98" s="52">
        <v>46189</v>
      </c>
      <c r="I98" s="53">
        <v>46140</v>
      </c>
      <c r="J98" s="175">
        <f t="shared" si="11"/>
        <v>0</v>
      </c>
      <c r="K98" s="175">
        <v>1</v>
      </c>
      <c r="L98" s="175">
        <v>200</v>
      </c>
      <c r="M98" s="175">
        <v>330</v>
      </c>
      <c r="N98" s="703"/>
      <c r="O98" s="703"/>
      <c r="P98" s="624"/>
      <c r="Q98" s="48"/>
      <c r="R98" s="48" t="s">
        <v>2584</v>
      </c>
      <c r="S98" s="176">
        <v>46189</v>
      </c>
      <c r="T98" s="308">
        <v>46183</v>
      </c>
      <c r="U98" s="176"/>
      <c r="V98" s="176">
        <v>46186</v>
      </c>
      <c r="W98" s="1284" t="s">
        <v>2880</v>
      </c>
      <c r="X98" s="159" t="s">
        <v>2871</v>
      </c>
    </row>
    <row r="99" s="3" customFormat="1" ht="27" hidden="1" customHeight="1" spans="1:24">
      <c r="A99" s="208">
        <f t="shared" si="12"/>
        <v>96</v>
      </c>
      <c r="B99" s="48" t="s">
        <v>2617</v>
      </c>
      <c r="C99" s="49" t="s">
        <v>2867</v>
      </c>
      <c r="D99" s="50" t="s">
        <v>2881</v>
      </c>
      <c r="E99" s="50" t="s">
        <v>2882</v>
      </c>
      <c r="F99" s="52">
        <v>46139</v>
      </c>
      <c r="G99" s="52">
        <v>46189</v>
      </c>
      <c r="H99" s="52">
        <v>46189</v>
      </c>
      <c r="I99" s="53">
        <v>46140</v>
      </c>
      <c r="J99" s="175">
        <f t="shared" si="11"/>
        <v>0</v>
      </c>
      <c r="K99" s="175">
        <v>1</v>
      </c>
      <c r="L99" s="175">
        <v>500</v>
      </c>
      <c r="M99" s="175">
        <v>770</v>
      </c>
      <c r="N99" s="703"/>
      <c r="O99" s="703"/>
      <c r="P99" s="624"/>
      <c r="Q99" s="48"/>
      <c r="R99" s="48" t="s">
        <v>2584</v>
      </c>
      <c r="S99" s="176">
        <v>46189</v>
      </c>
      <c r="T99" s="308">
        <v>46189</v>
      </c>
      <c r="U99" s="176"/>
      <c r="V99" s="176">
        <v>46186</v>
      </c>
      <c r="W99" s="1284" t="s">
        <v>2883</v>
      </c>
      <c r="X99" s="159" t="s">
        <v>2871</v>
      </c>
    </row>
    <row r="100" s="3" customFormat="1" ht="27" hidden="1" customHeight="1" spans="1:24">
      <c r="A100" s="208">
        <f t="shared" si="12"/>
        <v>97</v>
      </c>
      <c r="B100" s="48" t="s">
        <v>2617</v>
      </c>
      <c r="C100" s="49" t="s">
        <v>2867</v>
      </c>
      <c r="D100" s="50" t="s">
        <v>2884</v>
      </c>
      <c r="E100" s="50" t="s">
        <v>2885</v>
      </c>
      <c r="F100" s="52">
        <v>46139</v>
      </c>
      <c r="G100" s="52">
        <v>46189</v>
      </c>
      <c r="H100" s="52">
        <v>46189</v>
      </c>
      <c r="I100" s="53">
        <v>46140</v>
      </c>
      <c r="J100" s="175">
        <f t="shared" si="11"/>
        <v>0</v>
      </c>
      <c r="K100" s="175">
        <v>1</v>
      </c>
      <c r="L100" s="175">
        <v>300</v>
      </c>
      <c r="M100" s="175">
        <v>440</v>
      </c>
      <c r="N100" s="703"/>
      <c r="O100" s="703"/>
      <c r="P100" s="624"/>
      <c r="Q100" s="48"/>
      <c r="R100" s="48" t="s">
        <v>2584</v>
      </c>
      <c r="S100" s="176">
        <v>46189</v>
      </c>
      <c r="T100" s="308">
        <v>46189</v>
      </c>
      <c r="U100" s="176"/>
      <c r="V100" s="176">
        <v>46186</v>
      </c>
      <c r="W100" s="1284" t="s">
        <v>2886</v>
      </c>
      <c r="X100" s="159" t="s">
        <v>2871</v>
      </c>
    </row>
    <row r="101" s="3" customFormat="1" ht="27" hidden="1" customHeight="1" spans="1:24">
      <c r="A101" s="208">
        <f t="shared" si="12"/>
        <v>98</v>
      </c>
      <c r="B101" s="48" t="s">
        <v>2617</v>
      </c>
      <c r="C101" s="49" t="s">
        <v>2867</v>
      </c>
      <c r="D101" s="50" t="s">
        <v>2887</v>
      </c>
      <c r="E101" s="50" t="s">
        <v>2888</v>
      </c>
      <c r="F101" s="52">
        <v>46139</v>
      </c>
      <c r="G101" s="52">
        <v>46189</v>
      </c>
      <c r="H101" s="52">
        <v>46189</v>
      </c>
      <c r="I101" s="53">
        <v>46140</v>
      </c>
      <c r="J101" s="175">
        <f t="shared" si="11"/>
        <v>0</v>
      </c>
      <c r="K101" s="175">
        <v>1</v>
      </c>
      <c r="L101" s="175">
        <v>400</v>
      </c>
      <c r="M101" s="175">
        <v>770</v>
      </c>
      <c r="N101" s="703"/>
      <c r="O101" s="703"/>
      <c r="P101" s="624"/>
      <c r="Q101" s="48"/>
      <c r="R101" s="48" t="s">
        <v>2584</v>
      </c>
      <c r="S101" s="176">
        <v>46189</v>
      </c>
      <c r="T101" s="308">
        <v>46189</v>
      </c>
      <c r="U101" s="176"/>
      <c r="V101" s="176">
        <v>46186</v>
      </c>
      <c r="W101" s="1284" t="s">
        <v>2889</v>
      </c>
      <c r="X101" s="159" t="s">
        <v>2871</v>
      </c>
    </row>
    <row r="102" s="3" customFormat="1" ht="25.5" hidden="1" customHeight="1" spans="1:24">
      <c r="A102" s="208">
        <f t="shared" si="12"/>
        <v>99</v>
      </c>
      <c r="B102" s="48" t="s">
        <v>2890</v>
      </c>
      <c r="C102" s="49" t="s">
        <v>1674</v>
      </c>
      <c r="D102" s="50" t="s">
        <v>2891</v>
      </c>
      <c r="E102" s="50" t="s">
        <v>2892</v>
      </c>
      <c r="F102" s="52">
        <v>46157</v>
      </c>
      <c r="G102" s="52">
        <v>46188</v>
      </c>
      <c r="H102" s="52">
        <v>46188</v>
      </c>
      <c r="I102" s="53">
        <v>46182</v>
      </c>
      <c r="J102" s="175">
        <f>SUM(L102:O102)</f>
        <v>800</v>
      </c>
      <c r="K102" s="175">
        <v>1</v>
      </c>
      <c r="L102" s="175">
        <v>800</v>
      </c>
      <c r="M102" s="175"/>
      <c r="N102" s="703"/>
      <c r="O102" s="703"/>
      <c r="P102" s="624"/>
      <c r="Q102" s="48"/>
      <c r="R102" s="48" t="s">
        <v>2584</v>
      </c>
      <c r="S102" s="176">
        <v>46188</v>
      </c>
      <c r="T102" s="211">
        <v>46198</v>
      </c>
      <c r="U102" s="176"/>
      <c r="V102" s="176">
        <v>46199</v>
      </c>
      <c r="W102" s="213" t="s">
        <v>2893</v>
      </c>
      <c r="X102" s="159" t="s">
        <v>2894</v>
      </c>
    </row>
    <row r="103" s="3" customFormat="1" ht="25.5" hidden="1" customHeight="1" spans="1:24">
      <c r="A103" s="208">
        <f t="shared" si="12"/>
        <v>100</v>
      </c>
      <c r="B103" s="48" t="s">
        <v>2895</v>
      </c>
      <c r="C103" s="49" t="s">
        <v>645</v>
      </c>
      <c r="D103" s="50" t="s">
        <v>2896</v>
      </c>
      <c r="E103" s="50" t="s">
        <v>2897</v>
      </c>
      <c r="F103" s="52">
        <v>46190</v>
      </c>
      <c r="G103" s="52">
        <v>46198</v>
      </c>
      <c r="H103" s="52">
        <v>46198</v>
      </c>
      <c r="I103" s="53">
        <v>46190</v>
      </c>
      <c r="J103" s="175">
        <f>SUM(L103:O103)</f>
        <v>600</v>
      </c>
      <c r="K103" s="175">
        <v>1</v>
      </c>
      <c r="L103" s="175"/>
      <c r="M103" s="175">
        <v>600</v>
      </c>
      <c r="N103" s="703"/>
      <c r="O103" s="703"/>
      <c r="P103" s="624"/>
      <c r="Q103" s="48"/>
      <c r="R103" s="48" t="s">
        <v>2584</v>
      </c>
      <c r="S103" s="176">
        <v>46198</v>
      </c>
      <c r="T103" s="211">
        <v>46198</v>
      </c>
      <c r="U103" s="176"/>
      <c r="V103" s="176">
        <v>46199</v>
      </c>
      <c r="W103" s="213"/>
      <c r="X103" s="159" t="s">
        <v>2778</v>
      </c>
    </row>
    <row r="104" s="3" customFormat="1" ht="24" hidden="1" customHeight="1" spans="1:24">
      <c r="A104" s="208">
        <f t="shared" si="12"/>
        <v>101</v>
      </c>
      <c r="B104" s="48" t="s">
        <v>2898</v>
      </c>
      <c r="C104" s="49" t="s">
        <v>135</v>
      </c>
      <c r="D104" s="50" t="s">
        <v>2899</v>
      </c>
      <c r="E104" s="50" t="s">
        <v>2900</v>
      </c>
      <c r="F104" s="52">
        <v>46139</v>
      </c>
      <c r="G104" s="52">
        <v>46199</v>
      </c>
      <c r="H104" s="52">
        <v>46199</v>
      </c>
      <c r="I104" s="53">
        <v>46191</v>
      </c>
      <c r="J104" s="175">
        <f>SUM(L104:O104)</f>
        <v>960</v>
      </c>
      <c r="K104" s="175">
        <v>1</v>
      </c>
      <c r="L104" s="175"/>
      <c r="M104" s="175">
        <v>960</v>
      </c>
      <c r="N104" s="703"/>
      <c r="O104" s="703"/>
      <c r="P104" s="624"/>
      <c r="Q104" s="48"/>
      <c r="R104" s="48" t="s">
        <v>2584</v>
      </c>
      <c r="S104" s="176">
        <v>46199</v>
      </c>
      <c r="T104" s="211">
        <v>46205</v>
      </c>
      <c r="U104" s="176"/>
      <c r="V104" s="176">
        <v>46199</v>
      </c>
      <c r="W104" s="213" t="s">
        <v>2901</v>
      </c>
      <c r="X104" s="159" t="s">
        <v>2765</v>
      </c>
    </row>
    <row r="105" s="3" customFormat="1" ht="25.5" hidden="1" customHeight="1" spans="1:24">
      <c r="A105" s="208">
        <f t="shared" si="12"/>
        <v>102</v>
      </c>
      <c r="B105" s="48" t="s">
        <v>2902</v>
      </c>
      <c r="C105" s="49" t="s">
        <v>486</v>
      </c>
      <c r="D105" s="50" t="s">
        <v>2903</v>
      </c>
      <c r="E105" s="50" t="s">
        <v>2904</v>
      </c>
      <c r="F105" s="52">
        <v>46155</v>
      </c>
      <c r="G105" s="52">
        <v>46199</v>
      </c>
      <c r="H105" s="52">
        <v>46199</v>
      </c>
      <c r="I105" s="53">
        <v>46169</v>
      </c>
      <c r="J105" s="175">
        <f>SUM(L105:O105)</f>
        <v>1368</v>
      </c>
      <c r="K105" s="175">
        <v>1</v>
      </c>
      <c r="L105" s="175">
        <v>456</v>
      </c>
      <c r="M105" s="175">
        <v>456</v>
      </c>
      <c r="N105" s="175">
        <v>456</v>
      </c>
      <c r="O105" s="703"/>
      <c r="P105" s="624"/>
      <c r="Q105" s="48"/>
      <c r="R105" s="48" t="s">
        <v>2584</v>
      </c>
      <c r="S105" s="176">
        <v>46199</v>
      </c>
      <c r="T105" s="211">
        <v>46198</v>
      </c>
      <c r="U105" s="176"/>
      <c r="V105" s="176">
        <v>46199</v>
      </c>
      <c r="W105" s="213" t="s">
        <v>2905</v>
      </c>
      <c r="X105" s="159" t="s">
        <v>2863</v>
      </c>
    </row>
    <row r="106" s="3" customFormat="1" ht="25.5" hidden="1" customHeight="1" spans="1:24">
      <c r="A106" s="208">
        <f t="shared" si="12"/>
        <v>103</v>
      </c>
      <c r="B106" s="48" t="s">
        <v>2902</v>
      </c>
      <c r="C106" s="49" t="s">
        <v>486</v>
      </c>
      <c r="D106" s="50" t="s">
        <v>2906</v>
      </c>
      <c r="E106" s="50" t="s">
        <v>2907</v>
      </c>
      <c r="F106" s="52">
        <v>46155</v>
      </c>
      <c r="G106" s="52">
        <v>46199</v>
      </c>
      <c r="H106" s="52">
        <v>46199</v>
      </c>
      <c r="I106" s="53">
        <v>46169</v>
      </c>
      <c r="J106" s="175">
        <f>SUBTOTAL(9,L106:O106)</f>
        <v>0</v>
      </c>
      <c r="K106" s="175">
        <v>1</v>
      </c>
      <c r="L106" s="175">
        <v>148</v>
      </c>
      <c r="M106" s="175">
        <v>148</v>
      </c>
      <c r="N106" s="703">
        <v>148</v>
      </c>
      <c r="O106" s="703"/>
      <c r="P106" s="624"/>
      <c r="Q106" s="48"/>
      <c r="R106" s="48" t="s">
        <v>2584</v>
      </c>
      <c r="S106" s="176">
        <v>46199</v>
      </c>
      <c r="T106" s="211">
        <v>46198</v>
      </c>
      <c r="U106" s="176"/>
      <c r="V106" s="176">
        <v>46199</v>
      </c>
      <c r="W106" s="213" t="s">
        <v>2908</v>
      </c>
      <c r="X106" s="159" t="s">
        <v>2863</v>
      </c>
    </row>
    <row r="107" s="3" customFormat="1" ht="27" hidden="1" customHeight="1" spans="1:24">
      <c r="A107" s="208">
        <f t="shared" ref="A107:A118" si="13">ROW()-3</f>
        <v>104</v>
      </c>
      <c r="B107" s="48" t="s">
        <v>2617</v>
      </c>
      <c r="C107" s="49" t="s">
        <v>2867</v>
      </c>
      <c r="D107" s="50" t="s">
        <v>2909</v>
      </c>
      <c r="E107" s="50" t="s">
        <v>2910</v>
      </c>
      <c r="F107" s="52">
        <v>46139</v>
      </c>
      <c r="G107" s="52">
        <v>46200</v>
      </c>
      <c r="H107" s="52">
        <v>46200</v>
      </c>
      <c r="I107" s="53">
        <v>46141</v>
      </c>
      <c r="J107" s="175">
        <f>SUBTOTAL(9,L107:O107)</f>
        <v>0</v>
      </c>
      <c r="K107" s="175">
        <v>1</v>
      </c>
      <c r="L107" s="175">
        <v>300</v>
      </c>
      <c r="M107" s="175">
        <v>550</v>
      </c>
      <c r="N107" s="703"/>
      <c r="O107" s="703"/>
      <c r="P107" s="624"/>
      <c r="Q107" s="48"/>
      <c r="R107" s="48" t="s">
        <v>2584</v>
      </c>
      <c r="S107" s="176">
        <v>46200</v>
      </c>
      <c r="T107" s="211">
        <v>46198</v>
      </c>
      <c r="U107" s="176"/>
      <c r="V107" s="176">
        <v>46199</v>
      </c>
      <c r="W107" s="213" t="s">
        <v>2911</v>
      </c>
      <c r="X107" s="159" t="s">
        <v>2871</v>
      </c>
    </row>
    <row r="108" s="3" customFormat="1" ht="27" hidden="1" customHeight="1" spans="1:24">
      <c r="A108" s="208">
        <f t="shared" si="13"/>
        <v>105</v>
      </c>
      <c r="B108" s="48" t="s">
        <v>2617</v>
      </c>
      <c r="C108" s="49" t="s">
        <v>2867</v>
      </c>
      <c r="D108" s="50" t="s">
        <v>2912</v>
      </c>
      <c r="E108" s="50" t="s">
        <v>2913</v>
      </c>
      <c r="F108" s="52">
        <v>46139</v>
      </c>
      <c r="G108" s="52">
        <v>46200</v>
      </c>
      <c r="H108" s="52">
        <v>46200</v>
      </c>
      <c r="I108" s="53">
        <v>46141</v>
      </c>
      <c r="J108" s="175">
        <f t="shared" ref="J108:J113" si="14">SUBTOTAL(9,L108:O108)</f>
        <v>0</v>
      </c>
      <c r="K108" s="175">
        <v>1</v>
      </c>
      <c r="L108" s="175">
        <v>300</v>
      </c>
      <c r="M108" s="175">
        <v>440</v>
      </c>
      <c r="N108" s="703"/>
      <c r="O108" s="703"/>
      <c r="P108" s="624"/>
      <c r="Q108" s="48"/>
      <c r="R108" s="48" t="s">
        <v>2584</v>
      </c>
      <c r="S108" s="176">
        <v>46200</v>
      </c>
      <c r="T108" s="211">
        <v>46198</v>
      </c>
      <c r="U108" s="176"/>
      <c r="V108" s="176">
        <v>46199</v>
      </c>
      <c r="W108" s="213" t="s">
        <v>2914</v>
      </c>
      <c r="X108" s="159" t="s">
        <v>2871</v>
      </c>
    </row>
    <row r="109" s="3" customFormat="1" ht="27" hidden="1" customHeight="1" spans="1:24">
      <c r="A109" s="208">
        <f t="shared" si="13"/>
        <v>106</v>
      </c>
      <c r="B109" s="48" t="s">
        <v>2617</v>
      </c>
      <c r="C109" s="49" t="s">
        <v>2867</v>
      </c>
      <c r="D109" s="50" t="s">
        <v>2915</v>
      </c>
      <c r="E109" s="50" t="s">
        <v>2916</v>
      </c>
      <c r="F109" s="52">
        <v>46139</v>
      </c>
      <c r="G109" s="52">
        <v>46200</v>
      </c>
      <c r="H109" s="52">
        <v>46200</v>
      </c>
      <c r="I109" s="53">
        <v>46141</v>
      </c>
      <c r="J109" s="175">
        <f t="shared" si="14"/>
        <v>0</v>
      </c>
      <c r="K109" s="175">
        <v>1</v>
      </c>
      <c r="L109" s="175">
        <v>300</v>
      </c>
      <c r="M109" s="175">
        <v>550</v>
      </c>
      <c r="N109" s="703"/>
      <c r="O109" s="703"/>
      <c r="P109" s="624"/>
      <c r="Q109" s="48"/>
      <c r="R109" s="48" t="s">
        <v>2584</v>
      </c>
      <c r="S109" s="176">
        <v>46200</v>
      </c>
      <c r="T109" s="211">
        <v>46198</v>
      </c>
      <c r="U109" s="176"/>
      <c r="V109" s="176">
        <v>46199</v>
      </c>
      <c r="W109" s="213" t="s">
        <v>2917</v>
      </c>
      <c r="X109" s="159" t="s">
        <v>2871</v>
      </c>
    </row>
    <row r="110" s="3" customFormat="1" ht="27" hidden="1" customHeight="1" spans="1:24">
      <c r="A110" s="208">
        <f t="shared" si="13"/>
        <v>107</v>
      </c>
      <c r="B110" s="48" t="s">
        <v>2617</v>
      </c>
      <c r="C110" s="49" t="s">
        <v>2867</v>
      </c>
      <c r="D110" s="50" t="s">
        <v>2918</v>
      </c>
      <c r="E110" s="50" t="s">
        <v>2919</v>
      </c>
      <c r="F110" s="52">
        <v>46139</v>
      </c>
      <c r="G110" s="52">
        <v>46200</v>
      </c>
      <c r="H110" s="52">
        <v>46200</v>
      </c>
      <c r="I110" s="53">
        <v>46141</v>
      </c>
      <c r="J110" s="175">
        <f t="shared" si="14"/>
        <v>0</v>
      </c>
      <c r="K110" s="175">
        <v>1</v>
      </c>
      <c r="L110" s="175">
        <v>200</v>
      </c>
      <c r="M110" s="175">
        <v>440</v>
      </c>
      <c r="N110" s="703"/>
      <c r="O110" s="703"/>
      <c r="P110" s="624"/>
      <c r="Q110" s="48"/>
      <c r="R110" s="48" t="s">
        <v>2584</v>
      </c>
      <c r="S110" s="176">
        <v>46200</v>
      </c>
      <c r="T110" s="211">
        <v>46198</v>
      </c>
      <c r="U110" s="176"/>
      <c r="V110" s="176">
        <v>46199</v>
      </c>
      <c r="W110" s="213" t="s">
        <v>2920</v>
      </c>
      <c r="X110" s="159" t="s">
        <v>2871</v>
      </c>
    </row>
    <row r="111" s="3" customFormat="1" ht="27" hidden="1" customHeight="1" spans="1:24">
      <c r="A111" s="208">
        <f t="shared" si="13"/>
        <v>108</v>
      </c>
      <c r="B111" s="48" t="s">
        <v>2617</v>
      </c>
      <c r="C111" s="49" t="s">
        <v>2867</v>
      </c>
      <c r="D111" s="50" t="s">
        <v>2921</v>
      </c>
      <c r="E111" s="50" t="s">
        <v>2922</v>
      </c>
      <c r="F111" s="52">
        <v>46139</v>
      </c>
      <c r="G111" s="52">
        <v>46200</v>
      </c>
      <c r="H111" s="52">
        <v>46200</v>
      </c>
      <c r="I111" s="53">
        <v>46141</v>
      </c>
      <c r="J111" s="175">
        <f t="shared" si="14"/>
        <v>0</v>
      </c>
      <c r="K111" s="175">
        <v>1</v>
      </c>
      <c r="L111" s="175">
        <v>300</v>
      </c>
      <c r="M111" s="175">
        <v>440</v>
      </c>
      <c r="N111" s="703"/>
      <c r="O111" s="703"/>
      <c r="P111" s="624"/>
      <c r="Q111" s="48"/>
      <c r="R111" s="48" t="s">
        <v>2584</v>
      </c>
      <c r="S111" s="176">
        <v>46200</v>
      </c>
      <c r="T111" s="211">
        <v>46198</v>
      </c>
      <c r="U111" s="176"/>
      <c r="V111" s="176">
        <v>46199</v>
      </c>
      <c r="W111" s="213" t="s">
        <v>2923</v>
      </c>
      <c r="X111" s="159" t="s">
        <v>2871</v>
      </c>
    </row>
    <row r="112" s="3" customFormat="1" ht="27" hidden="1" customHeight="1" spans="1:24">
      <c r="A112" s="208">
        <f t="shared" si="13"/>
        <v>109</v>
      </c>
      <c r="B112" s="48" t="s">
        <v>2617</v>
      </c>
      <c r="C112" s="49" t="s">
        <v>2867</v>
      </c>
      <c r="D112" s="50" t="s">
        <v>2924</v>
      </c>
      <c r="E112" s="50" t="s">
        <v>2925</v>
      </c>
      <c r="F112" s="52">
        <v>46139</v>
      </c>
      <c r="G112" s="52">
        <v>46200</v>
      </c>
      <c r="H112" s="52">
        <v>46200</v>
      </c>
      <c r="I112" s="53">
        <v>46141</v>
      </c>
      <c r="J112" s="175">
        <f t="shared" si="14"/>
        <v>0</v>
      </c>
      <c r="K112" s="175">
        <v>1</v>
      </c>
      <c r="L112" s="175">
        <v>400</v>
      </c>
      <c r="M112" s="175">
        <v>660</v>
      </c>
      <c r="N112" s="703"/>
      <c r="O112" s="703"/>
      <c r="P112" s="624"/>
      <c r="Q112" s="48"/>
      <c r="R112" s="48" t="s">
        <v>2584</v>
      </c>
      <c r="S112" s="176">
        <v>46200</v>
      </c>
      <c r="T112" s="211">
        <v>46198</v>
      </c>
      <c r="U112" s="176"/>
      <c r="V112" s="176">
        <v>46199</v>
      </c>
      <c r="W112" s="213" t="s">
        <v>2926</v>
      </c>
      <c r="X112" s="159" t="s">
        <v>2871</v>
      </c>
    </row>
    <row r="113" s="3" customFormat="1" ht="27" hidden="1" customHeight="1" spans="1:24">
      <c r="A113" s="208">
        <f t="shared" si="13"/>
        <v>110</v>
      </c>
      <c r="B113" s="48" t="s">
        <v>2617</v>
      </c>
      <c r="C113" s="49" t="s">
        <v>2867</v>
      </c>
      <c r="D113" s="50" t="s">
        <v>2927</v>
      </c>
      <c r="E113" s="50" t="s">
        <v>2928</v>
      </c>
      <c r="F113" s="52">
        <v>46139</v>
      </c>
      <c r="G113" s="52">
        <v>46200</v>
      </c>
      <c r="H113" s="52">
        <v>46200</v>
      </c>
      <c r="I113" s="53">
        <v>46141</v>
      </c>
      <c r="J113" s="175">
        <f t="shared" si="14"/>
        <v>0</v>
      </c>
      <c r="K113" s="175">
        <v>1</v>
      </c>
      <c r="L113" s="175">
        <v>400</v>
      </c>
      <c r="M113" s="175">
        <v>660</v>
      </c>
      <c r="N113" s="703"/>
      <c r="O113" s="703"/>
      <c r="P113" s="624"/>
      <c r="Q113" s="48"/>
      <c r="R113" s="48" t="s">
        <v>2584</v>
      </c>
      <c r="S113" s="176">
        <v>46200</v>
      </c>
      <c r="T113" s="211">
        <v>46198</v>
      </c>
      <c r="U113" s="176"/>
      <c r="V113" s="176">
        <v>46199</v>
      </c>
      <c r="W113" s="213" t="s">
        <v>2929</v>
      </c>
      <c r="X113" s="159" t="s">
        <v>2871</v>
      </c>
    </row>
    <row r="114" s="3" customFormat="1" ht="27" hidden="1" customHeight="1" spans="1:24">
      <c r="A114" s="208">
        <f t="shared" si="13"/>
        <v>111</v>
      </c>
      <c r="B114" s="48" t="s">
        <v>2930</v>
      </c>
      <c r="C114" s="49" t="s">
        <v>296</v>
      </c>
      <c r="D114" s="50" t="s">
        <v>2931</v>
      </c>
      <c r="E114" s="50" t="s">
        <v>2932</v>
      </c>
      <c r="F114" s="52">
        <v>46155</v>
      </c>
      <c r="G114" s="52">
        <v>46203</v>
      </c>
      <c r="H114" s="52">
        <v>46203</v>
      </c>
      <c r="I114" s="53">
        <v>46170</v>
      </c>
      <c r="J114" s="175">
        <f>SUM(L114:N114)</f>
        <v>1208</v>
      </c>
      <c r="K114" s="175"/>
      <c r="L114" s="175"/>
      <c r="M114" s="175">
        <v>1208</v>
      </c>
      <c r="N114" s="703"/>
      <c r="O114" s="703"/>
      <c r="P114" s="624"/>
      <c r="Q114" s="48"/>
      <c r="R114" s="48" t="s">
        <v>2584</v>
      </c>
      <c r="S114" s="176">
        <v>46203</v>
      </c>
      <c r="T114" s="211">
        <v>46198</v>
      </c>
      <c r="U114" s="176"/>
      <c r="V114" s="176">
        <v>46199</v>
      </c>
      <c r="W114" s="213" t="s">
        <v>2933</v>
      </c>
      <c r="X114" s="159" t="s">
        <v>2765</v>
      </c>
    </row>
    <row r="115" s="3" customFormat="1" ht="27" hidden="1" customHeight="1" spans="1:24">
      <c r="A115" s="208">
        <f t="shared" si="13"/>
        <v>112</v>
      </c>
      <c r="B115" s="48" t="s">
        <v>2930</v>
      </c>
      <c r="C115" s="49" t="s">
        <v>296</v>
      </c>
      <c r="D115" s="50" t="s">
        <v>2934</v>
      </c>
      <c r="E115" s="50" t="s">
        <v>2935</v>
      </c>
      <c r="F115" s="52">
        <v>46155</v>
      </c>
      <c r="G115" s="52">
        <v>46203</v>
      </c>
      <c r="H115" s="52">
        <v>46203</v>
      </c>
      <c r="I115" s="53">
        <v>46170</v>
      </c>
      <c r="J115" s="175">
        <v>596</v>
      </c>
      <c r="K115" s="175"/>
      <c r="L115" s="175"/>
      <c r="M115" s="175">
        <v>596</v>
      </c>
      <c r="N115" s="703"/>
      <c r="O115" s="703"/>
      <c r="P115" s="624"/>
      <c r="Q115" s="48"/>
      <c r="R115" s="48" t="s">
        <v>2584</v>
      </c>
      <c r="S115" s="176">
        <v>46203</v>
      </c>
      <c r="T115" s="211">
        <v>46198</v>
      </c>
      <c r="U115" s="176"/>
      <c r="V115" s="176">
        <v>46199</v>
      </c>
      <c r="W115" s="213" t="s">
        <v>2936</v>
      </c>
      <c r="X115" s="159" t="s">
        <v>2765</v>
      </c>
    </row>
    <row r="116" s="3" customFormat="1" ht="25.5" hidden="1" customHeight="1" spans="1:24">
      <c r="A116" s="208">
        <f t="shared" si="13"/>
        <v>113</v>
      </c>
      <c r="B116" s="48" t="s">
        <v>254</v>
      </c>
      <c r="C116" s="49" t="s">
        <v>77</v>
      </c>
      <c r="D116" s="50" t="s">
        <v>2937</v>
      </c>
      <c r="E116" s="50" t="s">
        <v>2938</v>
      </c>
      <c r="F116" s="52">
        <v>46099</v>
      </c>
      <c r="G116" s="52">
        <v>46205</v>
      </c>
      <c r="H116" s="52">
        <v>46205</v>
      </c>
      <c r="I116" s="53">
        <v>46125</v>
      </c>
      <c r="J116" s="175">
        <f>SUM(L116:N116)</f>
        <v>300</v>
      </c>
      <c r="K116" s="175">
        <v>1</v>
      </c>
      <c r="L116" s="175"/>
      <c r="M116" s="175">
        <v>300</v>
      </c>
      <c r="N116" s="703"/>
      <c r="O116" s="703"/>
      <c r="P116" s="624"/>
      <c r="Q116" s="48"/>
      <c r="R116" s="48" t="s">
        <v>2584</v>
      </c>
      <c r="S116" s="176">
        <v>46205</v>
      </c>
      <c r="T116" s="211">
        <v>46198</v>
      </c>
      <c r="U116" s="176"/>
      <c r="V116" s="176">
        <v>46199</v>
      </c>
      <c r="W116" s="213" t="s">
        <v>2939</v>
      </c>
      <c r="X116" s="159" t="s">
        <v>2765</v>
      </c>
    </row>
    <row r="117" s="3" customFormat="1" ht="25.5" hidden="1" customHeight="1" spans="1:24">
      <c r="A117" s="208">
        <f t="shared" si="13"/>
        <v>114</v>
      </c>
      <c r="B117" s="48" t="s">
        <v>254</v>
      </c>
      <c r="C117" s="49" t="s">
        <v>77</v>
      </c>
      <c r="D117" s="50" t="s">
        <v>2940</v>
      </c>
      <c r="E117" s="50" t="s">
        <v>2941</v>
      </c>
      <c r="F117" s="52">
        <v>46099</v>
      </c>
      <c r="G117" s="52">
        <v>46205</v>
      </c>
      <c r="H117" s="52">
        <v>46205</v>
      </c>
      <c r="I117" s="53">
        <v>46125</v>
      </c>
      <c r="J117" s="175">
        <f>SUM(L117:N117)</f>
        <v>100</v>
      </c>
      <c r="K117" s="175">
        <v>1</v>
      </c>
      <c r="L117" s="175"/>
      <c r="M117" s="175">
        <v>100</v>
      </c>
      <c r="N117" s="703"/>
      <c r="O117" s="703"/>
      <c r="P117" s="624"/>
      <c r="Q117" s="48"/>
      <c r="R117" s="48" t="s">
        <v>2584</v>
      </c>
      <c r="S117" s="176">
        <v>46205</v>
      </c>
      <c r="T117" s="211">
        <v>46198</v>
      </c>
      <c r="U117" s="176"/>
      <c r="V117" s="176">
        <v>46199</v>
      </c>
      <c r="W117" s="213" t="s">
        <v>2942</v>
      </c>
      <c r="X117" s="159" t="s">
        <v>2765</v>
      </c>
    </row>
    <row r="118" s="3" customFormat="1" ht="25.5" hidden="1" customHeight="1" spans="1:24">
      <c r="A118" s="208">
        <f t="shared" si="13"/>
        <v>115</v>
      </c>
      <c r="B118" s="48" t="s">
        <v>2766</v>
      </c>
      <c r="C118" s="49" t="s">
        <v>1959</v>
      </c>
      <c r="D118" s="50" t="s">
        <v>2943</v>
      </c>
      <c r="E118" s="50" t="s">
        <v>2944</v>
      </c>
      <c r="F118" s="52">
        <v>46105</v>
      </c>
      <c r="G118" s="52">
        <v>46206</v>
      </c>
      <c r="H118" s="52">
        <v>46206</v>
      </c>
      <c r="I118" s="53">
        <v>46157</v>
      </c>
      <c r="J118" s="175">
        <f t="shared" ref="J118:J133" si="15">SUM(L118:O118)</f>
        <v>5280</v>
      </c>
      <c r="K118" s="175">
        <v>1</v>
      </c>
      <c r="L118" s="175"/>
      <c r="M118" s="175">
        <v>2640</v>
      </c>
      <c r="N118" s="703"/>
      <c r="O118" s="703">
        <v>2640</v>
      </c>
      <c r="P118" s="316"/>
      <c r="Q118" s="49"/>
      <c r="R118" s="48" t="s">
        <v>2584</v>
      </c>
      <c r="S118" s="176">
        <v>46206</v>
      </c>
      <c r="T118" s="211" t="s">
        <v>2945</v>
      </c>
      <c r="U118" s="176"/>
      <c r="V118" s="211">
        <v>46199</v>
      </c>
      <c r="W118" s="213" t="s">
        <v>2946</v>
      </c>
      <c r="X118" s="159" t="s">
        <v>2771</v>
      </c>
    </row>
    <row r="119" s="3" customFormat="1" ht="25.5" hidden="1" customHeight="1" spans="1:24">
      <c r="A119" s="208">
        <f t="shared" ref="A119:A134" si="16">ROW()-3</f>
        <v>116</v>
      </c>
      <c r="B119" s="48" t="s">
        <v>2617</v>
      </c>
      <c r="C119" s="49" t="s">
        <v>2947</v>
      </c>
      <c r="D119" s="50" t="s">
        <v>2948</v>
      </c>
      <c r="E119" s="50" t="s">
        <v>2949</v>
      </c>
      <c r="F119" s="52">
        <v>46149</v>
      </c>
      <c r="G119" s="52">
        <v>46210</v>
      </c>
      <c r="H119" s="52">
        <v>46210</v>
      </c>
      <c r="I119" s="53">
        <v>46157</v>
      </c>
      <c r="J119" s="175">
        <f t="shared" si="15"/>
        <v>3000</v>
      </c>
      <c r="K119" s="175">
        <v>1</v>
      </c>
      <c r="L119" s="175">
        <v>3000</v>
      </c>
      <c r="M119" s="175"/>
      <c r="N119" s="703"/>
      <c r="O119" s="703"/>
      <c r="P119" s="316"/>
      <c r="Q119" s="49"/>
      <c r="R119" s="48" t="s">
        <v>2584</v>
      </c>
      <c r="S119" s="176">
        <v>46210</v>
      </c>
      <c r="T119" s="308">
        <v>46205</v>
      </c>
      <c r="U119" s="308">
        <v>46205</v>
      </c>
      <c r="V119" s="176">
        <v>46207</v>
      </c>
      <c r="W119" s="213" t="s">
        <v>2950</v>
      </c>
      <c r="X119" s="159" t="s">
        <v>2678</v>
      </c>
    </row>
    <row r="120" s="3" customFormat="1" ht="25.5" hidden="1" customHeight="1" spans="1:24">
      <c r="A120" s="208">
        <f t="shared" si="16"/>
        <v>117</v>
      </c>
      <c r="B120" s="48" t="s">
        <v>2617</v>
      </c>
      <c r="C120" s="49" t="s">
        <v>2947</v>
      </c>
      <c r="D120" s="50" t="s">
        <v>2951</v>
      </c>
      <c r="E120" s="50" t="s">
        <v>2952</v>
      </c>
      <c r="F120" s="52">
        <v>46149</v>
      </c>
      <c r="G120" s="52">
        <v>46210</v>
      </c>
      <c r="H120" s="52">
        <v>46210</v>
      </c>
      <c r="I120" s="53">
        <v>46157</v>
      </c>
      <c r="J120" s="175">
        <f t="shared" si="15"/>
        <v>2000</v>
      </c>
      <c r="K120" s="175">
        <v>1</v>
      </c>
      <c r="L120" s="175">
        <v>2000</v>
      </c>
      <c r="M120" s="175"/>
      <c r="N120" s="703"/>
      <c r="O120" s="703"/>
      <c r="P120" s="316"/>
      <c r="Q120" s="49"/>
      <c r="R120" s="48" t="s">
        <v>2584</v>
      </c>
      <c r="S120" s="176">
        <v>46210</v>
      </c>
      <c r="T120" s="308">
        <v>46205</v>
      </c>
      <c r="U120" s="176"/>
      <c r="V120" s="176">
        <v>46207</v>
      </c>
      <c r="W120" s="213" t="s">
        <v>2953</v>
      </c>
      <c r="X120" s="159" t="s">
        <v>2678</v>
      </c>
    </row>
    <row r="121" s="3" customFormat="1" ht="25.5" hidden="1" customHeight="1" spans="1:24">
      <c r="A121" s="208">
        <f t="shared" si="16"/>
        <v>118</v>
      </c>
      <c r="B121" s="48" t="s">
        <v>2617</v>
      </c>
      <c r="C121" s="49" t="s">
        <v>2947</v>
      </c>
      <c r="D121" s="50" t="s">
        <v>2954</v>
      </c>
      <c r="E121" s="50" t="s">
        <v>2955</v>
      </c>
      <c r="F121" s="52">
        <v>46149</v>
      </c>
      <c r="G121" s="52">
        <v>46210</v>
      </c>
      <c r="H121" s="52">
        <v>46210</v>
      </c>
      <c r="I121" s="53">
        <v>46157</v>
      </c>
      <c r="J121" s="175">
        <f t="shared" si="15"/>
        <v>2000</v>
      </c>
      <c r="K121" s="175">
        <v>1</v>
      </c>
      <c r="L121" s="175">
        <v>2000</v>
      </c>
      <c r="M121" s="175"/>
      <c r="N121" s="703"/>
      <c r="O121" s="703"/>
      <c r="P121" s="316"/>
      <c r="Q121" s="49"/>
      <c r="R121" s="48" t="s">
        <v>2584</v>
      </c>
      <c r="S121" s="176">
        <v>46210</v>
      </c>
      <c r="T121" s="308">
        <v>46205</v>
      </c>
      <c r="U121" s="176"/>
      <c r="V121" s="176">
        <v>46207</v>
      </c>
      <c r="W121" s="213" t="s">
        <v>2956</v>
      </c>
      <c r="X121" s="159" t="s">
        <v>2678</v>
      </c>
    </row>
    <row r="122" s="3" customFormat="1" ht="25.5" hidden="1" customHeight="1" spans="1:24">
      <c r="A122" s="208">
        <f t="shared" si="16"/>
        <v>119</v>
      </c>
      <c r="B122" s="48" t="s">
        <v>2617</v>
      </c>
      <c r="C122" s="49" t="s">
        <v>2947</v>
      </c>
      <c r="D122" s="50" t="s">
        <v>2957</v>
      </c>
      <c r="E122" s="50" t="s">
        <v>2958</v>
      </c>
      <c r="F122" s="52">
        <v>46149</v>
      </c>
      <c r="G122" s="52">
        <v>46210</v>
      </c>
      <c r="H122" s="52">
        <v>46210</v>
      </c>
      <c r="I122" s="53">
        <v>46157</v>
      </c>
      <c r="J122" s="175">
        <f t="shared" si="15"/>
        <v>1700</v>
      </c>
      <c r="K122" s="175">
        <v>1</v>
      </c>
      <c r="L122" s="175">
        <v>1700</v>
      </c>
      <c r="M122" s="175"/>
      <c r="N122" s="703"/>
      <c r="O122" s="703"/>
      <c r="P122" s="316"/>
      <c r="Q122" s="49"/>
      <c r="R122" s="48" t="s">
        <v>2584</v>
      </c>
      <c r="S122" s="176">
        <v>46210</v>
      </c>
      <c r="T122" s="308">
        <v>46205</v>
      </c>
      <c r="U122" s="176"/>
      <c r="V122" s="176">
        <v>46207</v>
      </c>
      <c r="W122" s="213" t="s">
        <v>2959</v>
      </c>
      <c r="X122" s="159" t="s">
        <v>2678</v>
      </c>
    </row>
    <row r="123" s="3" customFormat="1" ht="25.5" hidden="1" customHeight="1" spans="1:24">
      <c r="A123" s="208">
        <f t="shared" si="16"/>
        <v>120</v>
      </c>
      <c r="B123" s="48" t="s">
        <v>2617</v>
      </c>
      <c r="C123" s="49" t="s">
        <v>2947</v>
      </c>
      <c r="D123" s="50" t="s">
        <v>2960</v>
      </c>
      <c r="E123" s="50" t="s">
        <v>2961</v>
      </c>
      <c r="F123" s="52">
        <v>46149</v>
      </c>
      <c r="G123" s="52">
        <v>46210</v>
      </c>
      <c r="H123" s="52">
        <v>46210</v>
      </c>
      <c r="I123" s="53">
        <v>46157</v>
      </c>
      <c r="J123" s="175">
        <f t="shared" si="15"/>
        <v>2000</v>
      </c>
      <c r="K123" s="175">
        <v>1</v>
      </c>
      <c r="L123" s="175">
        <v>2000</v>
      </c>
      <c r="M123" s="175"/>
      <c r="N123" s="703"/>
      <c r="O123" s="703"/>
      <c r="P123" s="316"/>
      <c r="Q123" s="49"/>
      <c r="R123" s="48" t="s">
        <v>2584</v>
      </c>
      <c r="S123" s="176">
        <v>46210</v>
      </c>
      <c r="T123" s="308">
        <v>46205</v>
      </c>
      <c r="U123" s="176"/>
      <c r="V123" s="176">
        <v>46207</v>
      </c>
      <c r="W123" s="213" t="s">
        <v>2962</v>
      </c>
      <c r="X123" s="159" t="s">
        <v>2678</v>
      </c>
    </row>
    <row r="124" s="3" customFormat="1" ht="25.5" hidden="1" customHeight="1" spans="1:24">
      <c r="A124" s="208">
        <f t="shared" si="16"/>
        <v>121</v>
      </c>
      <c r="B124" s="48" t="s">
        <v>2617</v>
      </c>
      <c r="C124" s="49" t="s">
        <v>2947</v>
      </c>
      <c r="D124" s="50" t="s">
        <v>2963</v>
      </c>
      <c r="E124" s="50" t="s">
        <v>2964</v>
      </c>
      <c r="F124" s="52">
        <v>46149</v>
      </c>
      <c r="G124" s="52">
        <v>46210</v>
      </c>
      <c r="H124" s="52">
        <v>46210</v>
      </c>
      <c r="I124" s="53">
        <v>46157</v>
      </c>
      <c r="J124" s="175">
        <f t="shared" si="15"/>
        <v>2100</v>
      </c>
      <c r="K124" s="175">
        <v>1</v>
      </c>
      <c r="L124" s="175">
        <v>2100</v>
      </c>
      <c r="M124" s="175"/>
      <c r="N124" s="703"/>
      <c r="O124" s="703"/>
      <c r="P124" s="316"/>
      <c r="Q124" s="49"/>
      <c r="R124" s="48" t="s">
        <v>2584</v>
      </c>
      <c r="S124" s="176">
        <v>46210</v>
      </c>
      <c r="T124" s="308">
        <v>46205</v>
      </c>
      <c r="U124" s="176"/>
      <c r="V124" s="176">
        <v>46207</v>
      </c>
      <c r="W124" s="213" t="s">
        <v>2965</v>
      </c>
      <c r="X124" s="159" t="s">
        <v>2678</v>
      </c>
    </row>
    <row r="125" s="3" customFormat="1" ht="25.5" hidden="1" customHeight="1" spans="1:24">
      <c r="A125" s="208">
        <f t="shared" si="16"/>
        <v>122</v>
      </c>
      <c r="B125" s="48" t="s">
        <v>2617</v>
      </c>
      <c r="C125" s="49" t="s">
        <v>2947</v>
      </c>
      <c r="D125" s="50" t="s">
        <v>2966</v>
      </c>
      <c r="E125" s="50" t="s">
        <v>2967</v>
      </c>
      <c r="F125" s="52">
        <v>46149</v>
      </c>
      <c r="G125" s="52">
        <v>46210</v>
      </c>
      <c r="H125" s="52">
        <v>46210</v>
      </c>
      <c r="I125" s="53">
        <v>46157</v>
      </c>
      <c r="J125" s="175">
        <f t="shared" si="15"/>
        <v>2400</v>
      </c>
      <c r="K125" s="175">
        <v>1</v>
      </c>
      <c r="L125" s="175">
        <v>2400</v>
      </c>
      <c r="M125" s="175"/>
      <c r="N125" s="703"/>
      <c r="O125" s="703"/>
      <c r="P125" s="316"/>
      <c r="Q125" s="49"/>
      <c r="R125" s="48" t="s">
        <v>2584</v>
      </c>
      <c r="S125" s="176">
        <v>46210</v>
      </c>
      <c r="T125" s="308">
        <v>46205</v>
      </c>
      <c r="U125" s="176"/>
      <c r="V125" s="176">
        <v>46207</v>
      </c>
      <c r="W125" s="213" t="s">
        <v>2968</v>
      </c>
      <c r="X125" s="159" t="s">
        <v>2678</v>
      </c>
    </row>
    <row r="126" s="3" customFormat="1" ht="36" hidden="1" customHeight="1" spans="1:24">
      <c r="A126" s="208">
        <f t="shared" si="16"/>
        <v>123</v>
      </c>
      <c r="B126" s="48" t="s">
        <v>2617</v>
      </c>
      <c r="C126" s="49" t="s">
        <v>2947</v>
      </c>
      <c r="D126" s="50" t="s">
        <v>2969</v>
      </c>
      <c r="E126" s="50" t="s">
        <v>2970</v>
      </c>
      <c r="F126" s="52">
        <v>46149</v>
      </c>
      <c r="G126" s="52">
        <v>46210</v>
      </c>
      <c r="H126" s="52">
        <v>46210</v>
      </c>
      <c r="I126" s="53">
        <v>46157</v>
      </c>
      <c r="J126" s="175">
        <f t="shared" si="15"/>
        <v>4950</v>
      </c>
      <c r="K126" s="175">
        <v>1</v>
      </c>
      <c r="L126" s="175"/>
      <c r="M126" s="175">
        <v>4950</v>
      </c>
      <c r="N126" s="703"/>
      <c r="O126" s="703"/>
      <c r="P126" s="316"/>
      <c r="Q126" s="49"/>
      <c r="R126" s="48" t="s">
        <v>2584</v>
      </c>
      <c r="S126" s="176">
        <v>46210</v>
      </c>
      <c r="T126" s="308">
        <v>46205</v>
      </c>
      <c r="U126" s="176"/>
      <c r="V126" s="211" t="s">
        <v>2971</v>
      </c>
      <c r="W126" s="213" t="s">
        <v>2972</v>
      </c>
      <c r="X126" s="159" t="s">
        <v>2973</v>
      </c>
    </row>
    <row r="127" s="3" customFormat="1" ht="25.5" hidden="1" customHeight="1" spans="1:24">
      <c r="A127" s="208">
        <f t="shared" si="16"/>
        <v>124</v>
      </c>
      <c r="B127" s="48" t="s">
        <v>2617</v>
      </c>
      <c r="C127" s="49" t="s">
        <v>2947</v>
      </c>
      <c r="D127" s="50" t="s">
        <v>2974</v>
      </c>
      <c r="E127" s="50" t="s">
        <v>2975</v>
      </c>
      <c r="F127" s="52">
        <v>46149</v>
      </c>
      <c r="G127" s="52">
        <v>46210</v>
      </c>
      <c r="H127" s="52">
        <v>46210</v>
      </c>
      <c r="I127" s="53">
        <v>46157</v>
      </c>
      <c r="J127" s="175">
        <f t="shared" si="15"/>
        <v>3300</v>
      </c>
      <c r="K127" s="175">
        <v>1</v>
      </c>
      <c r="L127" s="175"/>
      <c r="M127" s="175">
        <v>3300</v>
      </c>
      <c r="N127" s="703"/>
      <c r="O127" s="703"/>
      <c r="P127" s="316"/>
      <c r="Q127" s="49"/>
      <c r="R127" s="48" t="s">
        <v>2584</v>
      </c>
      <c r="S127" s="176">
        <v>46210</v>
      </c>
      <c r="T127" s="308">
        <v>46205</v>
      </c>
      <c r="U127" s="176"/>
      <c r="V127" s="176">
        <v>46207</v>
      </c>
      <c r="W127" s="213" t="s">
        <v>2976</v>
      </c>
      <c r="X127" s="159" t="s">
        <v>2973</v>
      </c>
    </row>
    <row r="128" s="3" customFormat="1" ht="25.5" hidden="1" customHeight="1" spans="1:24">
      <c r="A128" s="208">
        <f t="shared" si="16"/>
        <v>125</v>
      </c>
      <c r="B128" s="48" t="s">
        <v>2617</v>
      </c>
      <c r="C128" s="49" t="s">
        <v>2947</v>
      </c>
      <c r="D128" s="50" t="s">
        <v>2977</v>
      </c>
      <c r="E128" s="50" t="s">
        <v>2978</v>
      </c>
      <c r="F128" s="52">
        <v>46149</v>
      </c>
      <c r="G128" s="52">
        <v>46210</v>
      </c>
      <c r="H128" s="52">
        <v>46210</v>
      </c>
      <c r="I128" s="53">
        <v>46157</v>
      </c>
      <c r="J128" s="175">
        <f t="shared" si="15"/>
        <v>2750</v>
      </c>
      <c r="K128" s="175">
        <v>1</v>
      </c>
      <c r="L128" s="175"/>
      <c r="M128" s="175">
        <v>2750</v>
      </c>
      <c r="N128" s="703"/>
      <c r="O128" s="703"/>
      <c r="P128" s="316"/>
      <c r="Q128" s="49"/>
      <c r="R128" s="48" t="s">
        <v>2584</v>
      </c>
      <c r="S128" s="176">
        <v>46210</v>
      </c>
      <c r="T128" s="308">
        <v>46205</v>
      </c>
      <c r="U128" s="176"/>
      <c r="V128" s="176">
        <v>46207</v>
      </c>
      <c r="W128" s="213" t="s">
        <v>2968</v>
      </c>
      <c r="X128" s="159" t="s">
        <v>2973</v>
      </c>
    </row>
    <row r="129" s="3" customFormat="1" ht="25.5" hidden="1" customHeight="1" spans="1:24">
      <c r="A129" s="208">
        <f t="shared" si="16"/>
        <v>126</v>
      </c>
      <c r="B129" s="48" t="s">
        <v>2617</v>
      </c>
      <c r="C129" s="49" t="s">
        <v>2947</v>
      </c>
      <c r="D129" s="50" t="s">
        <v>2979</v>
      </c>
      <c r="E129" s="50" t="s">
        <v>2980</v>
      </c>
      <c r="F129" s="52">
        <v>46149</v>
      </c>
      <c r="G129" s="52">
        <v>46210</v>
      </c>
      <c r="H129" s="52">
        <v>46210</v>
      </c>
      <c r="I129" s="53">
        <v>46157</v>
      </c>
      <c r="J129" s="175">
        <f t="shared" si="15"/>
        <v>3300</v>
      </c>
      <c r="K129" s="175">
        <v>1</v>
      </c>
      <c r="L129" s="175"/>
      <c r="M129" s="175">
        <v>3300</v>
      </c>
      <c r="N129" s="703"/>
      <c r="O129" s="703"/>
      <c r="P129" s="316"/>
      <c r="Q129" s="49"/>
      <c r="R129" s="48" t="s">
        <v>2584</v>
      </c>
      <c r="S129" s="176">
        <v>46210</v>
      </c>
      <c r="T129" s="308">
        <v>46205</v>
      </c>
      <c r="U129" s="176"/>
      <c r="V129" s="176">
        <v>46207</v>
      </c>
      <c r="W129" s="213" t="s">
        <v>2981</v>
      </c>
      <c r="X129" s="159" t="s">
        <v>2973</v>
      </c>
    </row>
    <row r="130" s="3" customFormat="1" ht="25.5" hidden="1" customHeight="1" spans="1:24">
      <c r="A130" s="208">
        <f t="shared" si="16"/>
        <v>127</v>
      </c>
      <c r="B130" s="48" t="s">
        <v>2617</v>
      </c>
      <c r="C130" s="49" t="s">
        <v>2947</v>
      </c>
      <c r="D130" s="50" t="s">
        <v>2982</v>
      </c>
      <c r="E130" s="50" t="s">
        <v>2983</v>
      </c>
      <c r="F130" s="52">
        <v>46149</v>
      </c>
      <c r="G130" s="52">
        <v>46210</v>
      </c>
      <c r="H130" s="52">
        <v>46210</v>
      </c>
      <c r="I130" s="53">
        <v>46157</v>
      </c>
      <c r="J130" s="175">
        <f t="shared" si="15"/>
        <v>3960</v>
      </c>
      <c r="K130" s="175">
        <v>1</v>
      </c>
      <c r="L130" s="175"/>
      <c r="M130" s="175">
        <v>3960</v>
      </c>
      <c r="N130" s="703"/>
      <c r="O130" s="703"/>
      <c r="P130" s="316"/>
      <c r="Q130" s="49"/>
      <c r="R130" s="48" t="s">
        <v>2584</v>
      </c>
      <c r="S130" s="176">
        <v>46210</v>
      </c>
      <c r="T130" s="308">
        <v>46205</v>
      </c>
      <c r="U130" s="176"/>
      <c r="V130" s="176">
        <v>46207</v>
      </c>
      <c r="W130" s="213" t="s">
        <v>2984</v>
      </c>
      <c r="X130" s="159" t="s">
        <v>2973</v>
      </c>
    </row>
    <row r="131" s="3" customFormat="1" ht="25.5" hidden="1" customHeight="1" spans="1:24">
      <c r="A131" s="208">
        <f t="shared" si="16"/>
        <v>128</v>
      </c>
      <c r="B131" s="48" t="s">
        <v>2617</v>
      </c>
      <c r="C131" s="49" t="s">
        <v>2947</v>
      </c>
      <c r="D131" s="50" t="s">
        <v>2985</v>
      </c>
      <c r="E131" s="50" t="s">
        <v>2986</v>
      </c>
      <c r="F131" s="52">
        <v>46149</v>
      </c>
      <c r="G131" s="52">
        <v>46210</v>
      </c>
      <c r="H131" s="52">
        <v>46210</v>
      </c>
      <c r="I131" s="53">
        <v>46157</v>
      </c>
      <c r="J131" s="175">
        <f t="shared" si="15"/>
        <v>3630</v>
      </c>
      <c r="K131" s="175">
        <v>1</v>
      </c>
      <c r="L131" s="175"/>
      <c r="M131" s="175">
        <v>3630</v>
      </c>
      <c r="N131" s="703"/>
      <c r="O131" s="703"/>
      <c r="P131" s="316"/>
      <c r="Q131" s="49"/>
      <c r="R131" s="48" t="s">
        <v>2584</v>
      </c>
      <c r="S131" s="176">
        <v>46210</v>
      </c>
      <c r="T131" s="308">
        <v>46205</v>
      </c>
      <c r="U131" s="176"/>
      <c r="V131" s="176">
        <v>46207</v>
      </c>
      <c r="W131" s="213" t="s">
        <v>2987</v>
      </c>
      <c r="X131" s="159" t="s">
        <v>2973</v>
      </c>
    </row>
    <row r="132" s="3" customFormat="1" ht="25.5" hidden="1" customHeight="1" spans="1:24">
      <c r="A132" s="208">
        <f t="shared" si="16"/>
        <v>129</v>
      </c>
      <c r="B132" s="48" t="s">
        <v>2617</v>
      </c>
      <c r="C132" s="49" t="s">
        <v>2947</v>
      </c>
      <c r="D132" s="50" t="s">
        <v>2988</v>
      </c>
      <c r="E132" s="50" t="s">
        <v>2989</v>
      </c>
      <c r="F132" s="52">
        <v>46149</v>
      </c>
      <c r="G132" s="52">
        <v>46210</v>
      </c>
      <c r="H132" s="52">
        <v>46210</v>
      </c>
      <c r="I132" s="53">
        <v>46157</v>
      </c>
      <c r="J132" s="175">
        <f t="shared" si="15"/>
        <v>3300</v>
      </c>
      <c r="K132" s="175">
        <v>1</v>
      </c>
      <c r="L132" s="175"/>
      <c r="M132" s="175">
        <v>3300</v>
      </c>
      <c r="N132" s="703"/>
      <c r="O132" s="703"/>
      <c r="P132" s="316"/>
      <c r="Q132" s="49"/>
      <c r="R132" s="48" t="s">
        <v>2584</v>
      </c>
      <c r="S132" s="176">
        <v>46210</v>
      </c>
      <c r="T132" s="308">
        <v>46205</v>
      </c>
      <c r="U132" s="176"/>
      <c r="V132" s="176">
        <v>46207</v>
      </c>
      <c r="W132" s="213" t="s">
        <v>2990</v>
      </c>
      <c r="X132" s="159" t="s">
        <v>2973</v>
      </c>
    </row>
    <row r="133" s="3" customFormat="1" ht="25.5" hidden="1" customHeight="1" spans="1:24">
      <c r="A133" s="208">
        <f t="shared" si="16"/>
        <v>130</v>
      </c>
      <c r="B133" s="48" t="s">
        <v>2580</v>
      </c>
      <c r="C133" s="48" t="s">
        <v>124</v>
      </c>
      <c r="D133" s="50" t="s">
        <v>2991</v>
      </c>
      <c r="E133" s="50" t="s">
        <v>2992</v>
      </c>
      <c r="F133" s="52">
        <v>46063</v>
      </c>
      <c r="G133" s="52">
        <v>46210</v>
      </c>
      <c r="H133" s="52">
        <v>46210</v>
      </c>
      <c r="I133" s="53">
        <v>46160</v>
      </c>
      <c r="J133" s="175">
        <f t="shared" si="15"/>
        <v>500</v>
      </c>
      <c r="K133" s="175">
        <v>1</v>
      </c>
      <c r="L133" s="175"/>
      <c r="M133" s="175"/>
      <c r="N133" s="703"/>
      <c r="O133" s="175">
        <v>500</v>
      </c>
      <c r="P133" s="49"/>
      <c r="Q133" s="49"/>
      <c r="R133" s="48" t="s">
        <v>2584</v>
      </c>
      <c r="S133" s="176">
        <v>46210</v>
      </c>
      <c r="T133" s="211">
        <v>46177</v>
      </c>
      <c r="U133" s="176"/>
      <c r="V133" s="176">
        <v>46179</v>
      </c>
      <c r="W133" s="213" t="s">
        <v>2993</v>
      </c>
      <c r="X133" s="159" t="s">
        <v>2609</v>
      </c>
    </row>
    <row r="134" s="3" customFormat="1" ht="25.5" hidden="1" customHeight="1" spans="1:24">
      <c r="A134" s="208">
        <f t="shared" si="16"/>
        <v>131</v>
      </c>
      <c r="B134" s="48" t="s">
        <v>2580</v>
      </c>
      <c r="C134" s="49" t="s">
        <v>124</v>
      </c>
      <c r="D134" s="50" t="s">
        <v>2994</v>
      </c>
      <c r="E134" s="50" t="s">
        <v>2995</v>
      </c>
      <c r="F134" s="52">
        <v>46063</v>
      </c>
      <c r="G134" s="52">
        <v>46213</v>
      </c>
      <c r="H134" s="52">
        <v>46213</v>
      </c>
      <c r="I134" s="53">
        <v>46161</v>
      </c>
      <c r="J134" s="175">
        <v>802</v>
      </c>
      <c r="K134" s="175">
        <v>1</v>
      </c>
      <c r="L134" s="175"/>
      <c r="M134" s="175">
        <v>802</v>
      </c>
      <c r="N134" s="703"/>
      <c r="O134" s="703"/>
      <c r="P134" s="624"/>
      <c r="Q134" s="48"/>
      <c r="R134" s="48" t="s">
        <v>2584</v>
      </c>
      <c r="S134" s="176">
        <v>46213</v>
      </c>
      <c r="T134" s="211">
        <v>46211</v>
      </c>
      <c r="U134" s="176"/>
      <c r="V134" s="211">
        <v>46213</v>
      </c>
      <c r="W134" s="213" t="s">
        <v>2996</v>
      </c>
      <c r="X134" s="159" t="s">
        <v>2854</v>
      </c>
    </row>
    <row r="135" s="3" customFormat="1" ht="25.5" hidden="1" customHeight="1" spans="1:24">
      <c r="A135" s="208">
        <f t="shared" ref="A135:A148" si="17">ROW()-3</f>
        <v>132</v>
      </c>
      <c r="B135" s="48" t="s">
        <v>2617</v>
      </c>
      <c r="C135" s="49" t="s">
        <v>2867</v>
      </c>
      <c r="D135" s="50" t="s">
        <v>2997</v>
      </c>
      <c r="E135" s="50" t="s">
        <v>2998</v>
      </c>
      <c r="F135" s="52">
        <v>46139</v>
      </c>
      <c r="G135" s="52">
        <v>46214</v>
      </c>
      <c r="H135" s="52">
        <v>46214</v>
      </c>
      <c r="I135" s="53">
        <v>46150</v>
      </c>
      <c r="J135" s="175">
        <f t="shared" ref="J135:J143" si="18">SUM(L135:O135)</f>
        <v>1490</v>
      </c>
      <c r="K135" s="175">
        <v>1</v>
      </c>
      <c r="L135" s="175">
        <v>500</v>
      </c>
      <c r="M135" s="175">
        <v>990</v>
      </c>
      <c r="N135" s="703"/>
      <c r="O135" s="703"/>
      <c r="P135" s="316"/>
      <c r="Q135" s="49"/>
      <c r="R135" s="48" t="s">
        <v>2584</v>
      </c>
      <c r="S135" s="176">
        <v>46214</v>
      </c>
      <c r="T135" s="211">
        <v>46211</v>
      </c>
      <c r="U135" s="176"/>
      <c r="V135" s="176">
        <v>46213</v>
      </c>
      <c r="W135" s="1284" t="s">
        <v>2999</v>
      </c>
      <c r="X135" s="159" t="s">
        <v>2871</v>
      </c>
    </row>
    <row r="136" s="3" customFormat="1" ht="39" hidden="1" customHeight="1" spans="1:24">
      <c r="A136" s="208">
        <f t="shared" si="17"/>
        <v>133</v>
      </c>
      <c r="B136" s="48" t="s">
        <v>2617</v>
      </c>
      <c r="C136" s="49" t="s">
        <v>2867</v>
      </c>
      <c r="D136" s="50" t="s">
        <v>3000</v>
      </c>
      <c r="E136" s="50" t="s">
        <v>3001</v>
      </c>
      <c r="F136" s="52">
        <v>46139</v>
      </c>
      <c r="G136" s="52">
        <v>46214</v>
      </c>
      <c r="H136" s="52">
        <v>46214</v>
      </c>
      <c r="I136" s="53">
        <v>46150</v>
      </c>
      <c r="J136" s="175">
        <f t="shared" si="18"/>
        <v>1920</v>
      </c>
      <c r="K136" s="175">
        <v>1</v>
      </c>
      <c r="L136" s="175">
        <v>600</v>
      </c>
      <c r="M136" s="714">
        <v>1320</v>
      </c>
      <c r="N136" s="703"/>
      <c r="O136" s="703"/>
      <c r="P136" s="316"/>
      <c r="Q136" s="49"/>
      <c r="R136" s="48" t="s">
        <v>2584</v>
      </c>
      <c r="S136" s="176">
        <v>46214</v>
      </c>
      <c r="T136" s="308" t="s">
        <v>3002</v>
      </c>
      <c r="U136" s="176"/>
      <c r="V136" s="211" t="s">
        <v>3003</v>
      </c>
      <c r="W136" s="1284" t="s">
        <v>3004</v>
      </c>
      <c r="X136" s="159" t="s">
        <v>2871</v>
      </c>
    </row>
    <row r="137" s="3" customFormat="1" ht="25.5" hidden="1" customHeight="1" spans="1:24">
      <c r="A137" s="208">
        <f t="shared" si="17"/>
        <v>134</v>
      </c>
      <c r="B137" s="48" t="s">
        <v>2617</v>
      </c>
      <c r="C137" s="49" t="s">
        <v>2867</v>
      </c>
      <c r="D137" s="50" t="s">
        <v>3005</v>
      </c>
      <c r="E137" s="50" t="s">
        <v>3006</v>
      </c>
      <c r="F137" s="52">
        <v>46139</v>
      </c>
      <c r="G137" s="52">
        <v>46214</v>
      </c>
      <c r="H137" s="52">
        <v>46214</v>
      </c>
      <c r="I137" s="53">
        <v>46150</v>
      </c>
      <c r="J137" s="175">
        <f t="shared" si="18"/>
        <v>1170</v>
      </c>
      <c r="K137" s="175">
        <v>1</v>
      </c>
      <c r="L137" s="175">
        <v>400</v>
      </c>
      <c r="M137" s="175">
        <v>770</v>
      </c>
      <c r="N137" s="703"/>
      <c r="O137" s="703"/>
      <c r="P137" s="316"/>
      <c r="Q137" s="49"/>
      <c r="R137" s="48" t="s">
        <v>2584</v>
      </c>
      <c r="S137" s="176">
        <v>46214</v>
      </c>
      <c r="T137" s="211">
        <v>46211</v>
      </c>
      <c r="U137" s="176"/>
      <c r="V137" s="176">
        <v>46213</v>
      </c>
      <c r="W137" s="1284" t="s">
        <v>3007</v>
      </c>
      <c r="X137" s="159" t="s">
        <v>2871</v>
      </c>
    </row>
    <row r="138" s="3" customFormat="1" ht="25.5" hidden="1" customHeight="1" spans="1:24">
      <c r="A138" s="208">
        <f t="shared" si="17"/>
        <v>135</v>
      </c>
      <c r="B138" s="48" t="s">
        <v>2617</v>
      </c>
      <c r="C138" s="49" t="s">
        <v>2867</v>
      </c>
      <c r="D138" s="50" t="s">
        <v>3008</v>
      </c>
      <c r="E138" s="50" t="s">
        <v>3009</v>
      </c>
      <c r="F138" s="52">
        <v>46139</v>
      </c>
      <c r="G138" s="52">
        <v>46214</v>
      </c>
      <c r="H138" s="52">
        <v>46214</v>
      </c>
      <c r="I138" s="53">
        <v>46150</v>
      </c>
      <c r="J138" s="175">
        <f t="shared" si="18"/>
        <v>2020</v>
      </c>
      <c r="K138" s="175">
        <v>1</v>
      </c>
      <c r="L138" s="175">
        <v>700</v>
      </c>
      <c r="M138" s="175">
        <v>1320</v>
      </c>
      <c r="N138" s="703"/>
      <c r="O138" s="703"/>
      <c r="P138" s="316"/>
      <c r="Q138" s="49"/>
      <c r="R138" s="48" t="s">
        <v>2584</v>
      </c>
      <c r="S138" s="176">
        <v>46214</v>
      </c>
      <c r="T138" s="211">
        <v>46211</v>
      </c>
      <c r="U138" s="176"/>
      <c r="V138" s="176">
        <v>46213</v>
      </c>
      <c r="W138" s="1284" t="s">
        <v>3010</v>
      </c>
      <c r="X138" s="159" t="s">
        <v>2871</v>
      </c>
    </row>
    <row r="139" s="3" customFormat="1" ht="25.5" hidden="1" customHeight="1" spans="1:24">
      <c r="A139" s="208">
        <f t="shared" si="17"/>
        <v>136</v>
      </c>
      <c r="B139" s="48" t="s">
        <v>2617</v>
      </c>
      <c r="C139" s="49" t="s">
        <v>2867</v>
      </c>
      <c r="D139" s="50" t="s">
        <v>3011</v>
      </c>
      <c r="E139" s="50" t="s">
        <v>3012</v>
      </c>
      <c r="F139" s="52">
        <v>46139</v>
      </c>
      <c r="G139" s="52">
        <v>46214</v>
      </c>
      <c r="H139" s="52">
        <v>46214</v>
      </c>
      <c r="I139" s="53">
        <v>46150</v>
      </c>
      <c r="J139" s="175">
        <f t="shared" si="18"/>
        <v>1270</v>
      </c>
      <c r="K139" s="175">
        <v>1</v>
      </c>
      <c r="L139" s="175">
        <v>500</v>
      </c>
      <c r="M139" s="175">
        <v>770</v>
      </c>
      <c r="N139" s="703"/>
      <c r="O139" s="703"/>
      <c r="P139" s="316"/>
      <c r="Q139" s="49"/>
      <c r="R139" s="48" t="s">
        <v>2584</v>
      </c>
      <c r="S139" s="176">
        <v>46214</v>
      </c>
      <c r="T139" s="211">
        <v>46211</v>
      </c>
      <c r="U139" s="176"/>
      <c r="V139" s="176">
        <v>46213</v>
      </c>
      <c r="W139" s="1284" t="s">
        <v>3013</v>
      </c>
      <c r="X139" s="159" t="s">
        <v>2871</v>
      </c>
    </row>
    <row r="140" s="3" customFormat="1" ht="25.5" hidden="1" customHeight="1" spans="1:24">
      <c r="A140" s="208">
        <f t="shared" si="17"/>
        <v>137</v>
      </c>
      <c r="B140" s="48" t="s">
        <v>2617</v>
      </c>
      <c r="C140" s="49" t="s">
        <v>2867</v>
      </c>
      <c r="D140" s="50" t="s">
        <v>3014</v>
      </c>
      <c r="E140" s="50" t="s">
        <v>3015</v>
      </c>
      <c r="F140" s="52">
        <v>46139</v>
      </c>
      <c r="G140" s="52">
        <v>46214</v>
      </c>
      <c r="H140" s="52">
        <v>46214</v>
      </c>
      <c r="I140" s="53">
        <v>46150</v>
      </c>
      <c r="J140" s="175">
        <f t="shared" si="18"/>
        <v>950</v>
      </c>
      <c r="K140" s="175">
        <v>1</v>
      </c>
      <c r="L140" s="175">
        <v>400</v>
      </c>
      <c r="M140" s="175">
        <v>550</v>
      </c>
      <c r="N140" s="703"/>
      <c r="O140" s="703"/>
      <c r="P140" s="316"/>
      <c r="Q140" s="49"/>
      <c r="R140" s="48" t="s">
        <v>2584</v>
      </c>
      <c r="S140" s="176">
        <v>46214</v>
      </c>
      <c r="T140" s="211">
        <v>46211</v>
      </c>
      <c r="U140" s="176"/>
      <c r="V140" s="176">
        <v>46213</v>
      </c>
      <c r="W140" s="1284" t="s">
        <v>3016</v>
      </c>
      <c r="X140" s="159" t="s">
        <v>2871</v>
      </c>
    </row>
    <row r="141" s="3" customFormat="1" ht="25.5" hidden="1" customHeight="1" spans="1:24">
      <c r="A141" s="208">
        <f t="shared" si="17"/>
        <v>138</v>
      </c>
      <c r="B141" s="48" t="s">
        <v>2617</v>
      </c>
      <c r="C141" s="49" t="s">
        <v>2867</v>
      </c>
      <c r="D141" s="50" t="s">
        <v>3017</v>
      </c>
      <c r="E141" s="50" t="s">
        <v>3018</v>
      </c>
      <c r="F141" s="52">
        <v>46139</v>
      </c>
      <c r="G141" s="52">
        <v>46214</v>
      </c>
      <c r="H141" s="52">
        <v>46214</v>
      </c>
      <c r="I141" s="53">
        <v>46150</v>
      </c>
      <c r="J141" s="175">
        <f t="shared" si="18"/>
        <v>1280</v>
      </c>
      <c r="K141" s="175">
        <v>1</v>
      </c>
      <c r="L141" s="175">
        <v>400</v>
      </c>
      <c r="M141" s="175">
        <v>880</v>
      </c>
      <c r="N141" s="703"/>
      <c r="O141" s="703"/>
      <c r="P141" s="316"/>
      <c r="Q141" s="49"/>
      <c r="R141" s="48" t="s">
        <v>2584</v>
      </c>
      <c r="S141" s="176">
        <v>46214</v>
      </c>
      <c r="T141" s="211">
        <v>46211</v>
      </c>
      <c r="U141" s="176"/>
      <c r="V141" s="176">
        <v>46213</v>
      </c>
      <c r="W141" s="1284" t="s">
        <v>3019</v>
      </c>
      <c r="X141" s="159" t="s">
        <v>2871</v>
      </c>
    </row>
    <row r="142" s="3" customFormat="1" ht="36" hidden="1" customHeight="1" spans="1:24">
      <c r="A142" s="208">
        <f t="shared" si="17"/>
        <v>139</v>
      </c>
      <c r="B142" s="48" t="s">
        <v>2597</v>
      </c>
      <c r="C142" s="49" t="s">
        <v>342</v>
      </c>
      <c r="D142" s="50" t="s">
        <v>2512</v>
      </c>
      <c r="E142" s="50" t="s">
        <v>2513</v>
      </c>
      <c r="F142" s="52">
        <v>46114</v>
      </c>
      <c r="G142" s="52">
        <v>46218</v>
      </c>
      <c r="H142" s="52">
        <v>46218</v>
      </c>
      <c r="I142" s="53">
        <v>46156</v>
      </c>
      <c r="J142" s="175">
        <f t="shared" si="18"/>
        <v>4920</v>
      </c>
      <c r="K142" s="175">
        <v>1</v>
      </c>
      <c r="L142" s="175">
        <v>1260</v>
      </c>
      <c r="M142" s="175">
        <v>2820</v>
      </c>
      <c r="N142" s="703"/>
      <c r="O142" s="703">
        <v>840</v>
      </c>
      <c r="P142" s="316"/>
      <c r="Q142" s="49"/>
      <c r="R142" s="48" t="s">
        <v>2584</v>
      </c>
      <c r="S142" s="176">
        <v>46218</v>
      </c>
      <c r="T142" s="211" t="s">
        <v>3020</v>
      </c>
      <c r="U142" s="176"/>
      <c r="V142" s="211" t="s">
        <v>3021</v>
      </c>
      <c r="W142" s="213" t="s">
        <v>2505</v>
      </c>
      <c r="X142" s="159" t="s">
        <v>3022</v>
      </c>
    </row>
    <row r="143" s="3" customFormat="1" ht="24" hidden="1" customHeight="1" spans="1:24">
      <c r="A143" s="208">
        <f t="shared" si="17"/>
        <v>140</v>
      </c>
      <c r="B143" s="48" t="s">
        <v>2580</v>
      </c>
      <c r="C143" s="48" t="s">
        <v>124</v>
      </c>
      <c r="D143" s="50" t="s">
        <v>3023</v>
      </c>
      <c r="E143" s="50" t="s">
        <v>3024</v>
      </c>
      <c r="F143" s="52">
        <v>46063</v>
      </c>
      <c r="G143" s="52">
        <v>46221</v>
      </c>
      <c r="H143" s="52">
        <v>46221</v>
      </c>
      <c r="I143" s="53">
        <v>46160</v>
      </c>
      <c r="J143" s="175">
        <f t="shared" si="18"/>
        <v>653</v>
      </c>
      <c r="K143" s="175">
        <v>1</v>
      </c>
      <c r="L143" s="175"/>
      <c r="M143" s="175"/>
      <c r="N143" s="703"/>
      <c r="O143" s="175">
        <v>653</v>
      </c>
      <c r="P143" s="49"/>
      <c r="Q143" s="49"/>
      <c r="R143" s="48" t="s">
        <v>2584</v>
      </c>
      <c r="S143" s="176">
        <v>46185</v>
      </c>
      <c r="T143" s="211">
        <v>46177</v>
      </c>
      <c r="U143" s="176"/>
      <c r="V143" s="176">
        <v>46179</v>
      </c>
      <c r="W143" s="213" t="s">
        <v>3025</v>
      </c>
      <c r="X143" s="159" t="s">
        <v>2609</v>
      </c>
    </row>
    <row r="144" s="311" customFormat="1" ht="25.5" hidden="1" customHeight="1" spans="1:24">
      <c r="A144" s="715">
        <f t="shared" si="17"/>
        <v>141</v>
      </c>
      <c r="B144" s="667" t="s">
        <v>2890</v>
      </c>
      <c r="C144" s="668" t="s">
        <v>1674</v>
      </c>
      <c r="D144" s="669" t="s">
        <v>3026</v>
      </c>
      <c r="E144" s="669" t="s">
        <v>3027</v>
      </c>
      <c r="F144" s="716">
        <v>46170</v>
      </c>
      <c r="G144" s="716">
        <v>46217</v>
      </c>
      <c r="H144" s="716">
        <v>46217</v>
      </c>
      <c r="I144" s="717">
        <v>46185</v>
      </c>
      <c r="J144" s="718">
        <f>SUBTOTAL(9,L144:O144)</f>
        <v>0</v>
      </c>
      <c r="K144" s="718">
        <v>1</v>
      </c>
      <c r="L144" s="718"/>
      <c r="M144" s="718"/>
      <c r="N144" s="719"/>
      <c r="O144" s="719">
        <v>0</v>
      </c>
      <c r="P144" s="720"/>
      <c r="Q144" s="721"/>
      <c r="R144" s="667" t="s">
        <v>2584</v>
      </c>
      <c r="S144" s="722">
        <v>46217</v>
      </c>
      <c r="T144" s="723" t="s">
        <v>3028</v>
      </c>
      <c r="U144" s="724"/>
      <c r="V144" s="724" t="s">
        <v>640</v>
      </c>
      <c r="W144" s="725" t="s">
        <v>3029</v>
      </c>
      <c r="X144" s="3" t="s">
        <v>2778</v>
      </c>
    </row>
    <row r="145" s="3" customFormat="1" ht="27" hidden="1" customHeight="1" spans="1:25">
      <c r="A145" s="715">
        <f t="shared" si="17"/>
        <v>142</v>
      </c>
      <c r="B145" s="667" t="s">
        <v>2890</v>
      </c>
      <c r="C145" s="668" t="s">
        <v>1674</v>
      </c>
      <c r="D145" s="669" t="s">
        <v>3030</v>
      </c>
      <c r="E145" s="669" t="s">
        <v>3031</v>
      </c>
      <c r="F145" s="716">
        <v>46170</v>
      </c>
      <c r="G145" s="716">
        <v>46217</v>
      </c>
      <c r="H145" s="716">
        <v>46217</v>
      </c>
      <c r="I145" s="717">
        <v>46185</v>
      </c>
      <c r="J145" s="718">
        <f>SUBTOTAL(9,L145:O145)</f>
        <v>0</v>
      </c>
      <c r="K145" s="718">
        <v>1</v>
      </c>
      <c r="L145" s="718"/>
      <c r="M145" s="718"/>
      <c r="N145" s="719"/>
      <c r="O145" s="719">
        <v>0</v>
      </c>
      <c r="P145" s="726"/>
      <c r="Q145" s="667"/>
      <c r="R145" s="667" t="s">
        <v>2584</v>
      </c>
      <c r="S145" s="722">
        <v>46217</v>
      </c>
      <c r="T145" s="723" t="s">
        <v>3028</v>
      </c>
      <c r="U145" s="722"/>
      <c r="V145" s="724" t="s">
        <v>640</v>
      </c>
      <c r="W145" s="725">
        <v>2633640</v>
      </c>
      <c r="X145" s="3" t="s">
        <v>2778</v>
      </c>
    </row>
    <row r="146" s="3" customFormat="1" ht="25.5" hidden="1" customHeight="1" spans="1:25">
      <c r="A146" s="208">
        <f t="shared" si="17"/>
        <v>143</v>
      </c>
      <c r="B146" s="48" t="s">
        <v>2890</v>
      </c>
      <c r="C146" s="49" t="s">
        <v>1674</v>
      </c>
      <c r="D146" s="50" t="s">
        <v>3032</v>
      </c>
      <c r="E146" s="50" t="s">
        <v>3033</v>
      </c>
      <c r="F146" s="52">
        <v>46157</v>
      </c>
      <c r="G146" s="52">
        <v>46219</v>
      </c>
      <c r="H146" s="52">
        <v>46219</v>
      </c>
      <c r="I146" s="53">
        <v>46182</v>
      </c>
      <c r="J146" s="175">
        <f>SUM(L146:O146)</f>
        <v>400</v>
      </c>
      <c r="K146" s="175">
        <v>1</v>
      </c>
      <c r="L146" s="175">
        <v>400</v>
      </c>
      <c r="M146" s="175"/>
      <c r="N146" s="703"/>
      <c r="O146" s="703"/>
      <c r="P146" s="316"/>
      <c r="Q146" s="49"/>
      <c r="R146" s="48" t="s">
        <v>2584</v>
      </c>
      <c r="S146" s="176">
        <v>46219</v>
      </c>
      <c r="T146" s="211">
        <v>46225</v>
      </c>
      <c r="U146" s="176"/>
      <c r="V146" s="176">
        <v>46227</v>
      </c>
      <c r="W146" s="213" t="s">
        <v>3034</v>
      </c>
      <c r="X146" s="159" t="s">
        <v>2894</v>
      </c>
    </row>
    <row r="147" s="3" customFormat="1" ht="25.5" hidden="1" customHeight="1" spans="1:25">
      <c r="A147" s="208">
        <f t="shared" si="17"/>
        <v>144</v>
      </c>
      <c r="B147" s="48" t="s">
        <v>2766</v>
      </c>
      <c r="C147" s="49" t="s">
        <v>1959</v>
      </c>
      <c r="D147" s="50" t="s">
        <v>3035</v>
      </c>
      <c r="E147" s="50" t="s">
        <v>3036</v>
      </c>
      <c r="F147" s="52">
        <v>46105</v>
      </c>
      <c r="G147" s="52">
        <v>46226</v>
      </c>
      <c r="H147" s="52">
        <v>46226</v>
      </c>
      <c r="I147" s="53">
        <v>46157</v>
      </c>
      <c r="J147" s="175">
        <f>SUM(L147:O147)</f>
        <v>5280</v>
      </c>
      <c r="K147" s="175">
        <v>1</v>
      </c>
      <c r="L147" s="175"/>
      <c r="M147" s="175">
        <v>2640</v>
      </c>
      <c r="N147" s="703"/>
      <c r="O147" s="703">
        <v>2640</v>
      </c>
      <c r="P147" s="316"/>
      <c r="Q147" s="49"/>
      <c r="R147" s="48" t="s">
        <v>2584</v>
      </c>
      <c r="S147" s="176">
        <v>46226</v>
      </c>
      <c r="T147" s="211">
        <v>46217</v>
      </c>
      <c r="U147" s="176"/>
      <c r="V147" s="176">
        <v>46220</v>
      </c>
      <c r="W147" s="213" t="s">
        <v>3037</v>
      </c>
      <c r="X147" s="159" t="s">
        <v>2771</v>
      </c>
      <c r="Y147" s="159" t="s">
        <v>3038</v>
      </c>
    </row>
    <row r="148" s="3" customFormat="1" ht="25.5" hidden="1" customHeight="1" spans="1:25">
      <c r="A148" s="208">
        <f t="shared" si="17"/>
        <v>145</v>
      </c>
      <c r="B148" s="48" t="s">
        <v>2580</v>
      </c>
      <c r="C148" s="49" t="s">
        <v>124</v>
      </c>
      <c r="D148" s="50" t="s">
        <v>3039</v>
      </c>
      <c r="E148" s="50" t="s">
        <v>3040</v>
      </c>
      <c r="F148" s="52">
        <v>46063</v>
      </c>
      <c r="G148" s="52">
        <v>46227</v>
      </c>
      <c r="H148" s="52">
        <v>46227</v>
      </c>
      <c r="I148" s="53">
        <v>46161</v>
      </c>
      <c r="J148" s="175">
        <v>1002</v>
      </c>
      <c r="K148" s="175">
        <v>1</v>
      </c>
      <c r="L148" s="175"/>
      <c r="M148" s="175">
        <v>1002</v>
      </c>
      <c r="N148" s="703"/>
      <c r="O148" s="703"/>
      <c r="P148" s="624"/>
      <c r="Q148" s="48"/>
      <c r="R148" s="48" t="s">
        <v>2584</v>
      </c>
      <c r="S148" s="176">
        <v>46227</v>
      </c>
      <c r="T148" s="211">
        <v>46225</v>
      </c>
      <c r="U148" s="176"/>
      <c r="V148" s="176">
        <v>46227</v>
      </c>
      <c r="W148" s="213" t="s">
        <v>3041</v>
      </c>
      <c r="X148" s="159" t="s">
        <v>2854</v>
      </c>
    </row>
    <row r="149" s="3" customFormat="1" ht="25.5" hidden="1" customHeight="1" spans="1:25">
      <c r="A149" s="208">
        <f t="shared" ref="A149:A159" si="19">ROW()-3</f>
        <v>146</v>
      </c>
      <c r="B149" s="48" t="s">
        <v>2617</v>
      </c>
      <c r="C149" s="49" t="s">
        <v>2867</v>
      </c>
      <c r="D149" s="50" t="s">
        <v>3042</v>
      </c>
      <c r="E149" s="50" t="s">
        <v>3043</v>
      </c>
      <c r="F149" s="52">
        <v>46139</v>
      </c>
      <c r="G149" s="52">
        <v>46230</v>
      </c>
      <c r="H149" s="52">
        <v>46230</v>
      </c>
      <c r="I149" s="53">
        <v>46154</v>
      </c>
      <c r="J149" s="175">
        <f t="shared" ref="J149:J155" si="20">SUBTOTAL(9,L149:O149)</f>
        <v>0</v>
      </c>
      <c r="K149" s="175">
        <v>1</v>
      </c>
      <c r="L149" s="175">
        <v>300</v>
      </c>
      <c r="M149" s="175">
        <v>770</v>
      </c>
      <c r="N149" s="703"/>
      <c r="O149" s="703"/>
      <c r="P149" s="316"/>
      <c r="Q149" s="49"/>
      <c r="R149" s="48" t="s">
        <v>2584</v>
      </c>
      <c r="S149" s="176">
        <v>46230</v>
      </c>
      <c r="T149" s="211">
        <v>46225</v>
      </c>
      <c r="U149" s="176"/>
      <c r="V149" s="176">
        <v>46227</v>
      </c>
      <c r="W149" s="213" t="s">
        <v>3044</v>
      </c>
      <c r="X149" s="159" t="s">
        <v>2871</v>
      </c>
    </row>
    <row r="150" s="3" customFormat="1" ht="25.5" hidden="1" customHeight="1" spans="1:25">
      <c r="A150" s="208">
        <f t="shared" si="19"/>
        <v>147</v>
      </c>
      <c r="B150" s="48" t="s">
        <v>2617</v>
      </c>
      <c r="C150" s="49" t="s">
        <v>2867</v>
      </c>
      <c r="D150" s="50" t="s">
        <v>3045</v>
      </c>
      <c r="E150" s="50" t="s">
        <v>3046</v>
      </c>
      <c r="F150" s="52">
        <v>46139</v>
      </c>
      <c r="G150" s="52">
        <v>46230</v>
      </c>
      <c r="H150" s="52">
        <v>46230</v>
      </c>
      <c r="I150" s="53">
        <v>46154</v>
      </c>
      <c r="J150" s="175">
        <f t="shared" si="20"/>
        <v>0</v>
      </c>
      <c r="K150" s="175">
        <v>1</v>
      </c>
      <c r="L150" s="175">
        <v>400</v>
      </c>
      <c r="M150" s="175">
        <v>660</v>
      </c>
      <c r="N150" s="703"/>
      <c r="O150" s="703"/>
      <c r="P150" s="316"/>
      <c r="Q150" s="49"/>
      <c r="R150" s="48" t="s">
        <v>2584</v>
      </c>
      <c r="S150" s="176">
        <v>46230</v>
      </c>
      <c r="T150" s="211">
        <v>46225</v>
      </c>
      <c r="U150" s="176"/>
      <c r="V150" s="176">
        <v>46227</v>
      </c>
      <c r="W150" s="213" t="s">
        <v>3047</v>
      </c>
      <c r="X150" s="159" t="s">
        <v>2871</v>
      </c>
    </row>
    <row r="151" s="3" customFormat="1" ht="25.5" hidden="1" customHeight="1" spans="1:25">
      <c r="A151" s="208">
        <f t="shared" si="19"/>
        <v>148</v>
      </c>
      <c r="B151" s="48" t="s">
        <v>2617</v>
      </c>
      <c r="C151" s="49" t="s">
        <v>2867</v>
      </c>
      <c r="D151" s="50" t="s">
        <v>3048</v>
      </c>
      <c r="E151" s="50" t="s">
        <v>3049</v>
      </c>
      <c r="F151" s="52">
        <v>46139</v>
      </c>
      <c r="G151" s="52">
        <v>46230</v>
      </c>
      <c r="H151" s="52">
        <v>46230</v>
      </c>
      <c r="I151" s="53">
        <v>46154</v>
      </c>
      <c r="J151" s="175">
        <f t="shared" si="20"/>
        <v>0</v>
      </c>
      <c r="K151" s="175">
        <v>1</v>
      </c>
      <c r="L151" s="175">
        <v>600</v>
      </c>
      <c r="M151" s="175">
        <v>1100</v>
      </c>
      <c r="N151" s="703"/>
      <c r="O151" s="703"/>
      <c r="P151" s="316"/>
      <c r="Q151" s="49"/>
      <c r="R151" s="48" t="s">
        <v>2584</v>
      </c>
      <c r="S151" s="176">
        <v>46230</v>
      </c>
      <c r="T151" s="211">
        <v>46225</v>
      </c>
      <c r="U151" s="176"/>
      <c r="V151" s="176">
        <v>46227</v>
      </c>
      <c r="W151" s="213" t="s">
        <v>3050</v>
      </c>
      <c r="X151" s="159" t="s">
        <v>2871</v>
      </c>
    </row>
    <row r="152" s="3" customFormat="1" ht="25.5" hidden="1" customHeight="1" spans="1:25">
      <c r="A152" s="208">
        <f t="shared" si="19"/>
        <v>149</v>
      </c>
      <c r="B152" s="48" t="s">
        <v>2617</v>
      </c>
      <c r="C152" s="49" t="s">
        <v>2867</v>
      </c>
      <c r="D152" s="50" t="s">
        <v>3051</v>
      </c>
      <c r="E152" s="50" t="s">
        <v>3052</v>
      </c>
      <c r="F152" s="52">
        <v>46139</v>
      </c>
      <c r="G152" s="52">
        <v>46230</v>
      </c>
      <c r="H152" s="52">
        <v>46230</v>
      </c>
      <c r="I152" s="53">
        <v>46154</v>
      </c>
      <c r="J152" s="175">
        <f t="shared" si="20"/>
        <v>0</v>
      </c>
      <c r="K152" s="175">
        <v>1</v>
      </c>
      <c r="L152" s="175">
        <v>700</v>
      </c>
      <c r="M152" s="175">
        <v>1210</v>
      </c>
      <c r="N152" s="703"/>
      <c r="O152" s="703"/>
      <c r="P152" s="316"/>
      <c r="Q152" s="49"/>
      <c r="R152" s="48" t="s">
        <v>2584</v>
      </c>
      <c r="S152" s="176">
        <v>46230</v>
      </c>
      <c r="T152" s="211">
        <v>46225</v>
      </c>
      <c r="U152" s="176"/>
      <c r="V152" s="176">
        <v>46227</v>
      </c>
      <c r="W152" s="213" t="s">
        <v>3053</v>
      </c>
      <c r="X152" s="159" t="s">
        <v>2871</v>
      </c>
    </row>
    <row r="153" s="3" customFormat="1" ht="25.5" hidden="1" customHeight="1" spans="1:25">
      <c r="A153" s="208">
        <f t="shared" si="19"/>
        <v>150</v>
      </c>
      <c r="B153" s="48" t="s">
        <v>2617</v>
      </c>
      <c r="C153" s="49" t="s">
        <v>2867</v>
      </c>
      <c r="D153" s="50" t="s">
        <v>3054</v>
      </c>
      <c r="E153" s="50" t="s">
        <v>3055</v>
      </c>
      <c r="F153" s="52">
        <v>46139</v>
      </c>
      <c r="G153" s="52">
        <v>46230</v>
      </c>
      <c r="H153" s="52">
        <v>46230</v>
      </c>
      <c r="I153" s="53">
        <v>46154</v>
      </c>
      <c r="J153" s="175">
        <f t="shared" si="20"/>
        <v>0</v>
      </c>
      <c r="K153" s="175">
        <v>1</v>
      </c>
      <c r="L153" s="175">
        <v>500</v>
      </c>
      <c r="M153" s="175">
        <v>880</v>
      </c>
      <c r="N153" s="703"/>
      <c r="O153" s="703"/>
      <c r="P153" s="316"/>
      <c r="Q153" s="49"/>
      <c r="R153" s="48" t="s">
        <v>2584</v>
      </c>
      <c r="S153" s="176">
        <v>46230</v>
      </c>
      <c r="T153" s="211">
        <v>46225</v>
      </c>
      <c r="U153" s="176"/>
      <c r="V153" s="176">
        <v>46227</v>
      </c>
      <c r="W153" s="213" t="s">
        <v>3056</v>
      </c>
      <c r="X153" s="159" t="s">
        <v>2871</v>
      </c>
    </row>
    <row r="154" s="3" customFormat="1" ht="25.5" hidden="1" customHeight="1" spans="1:25">
      <c r="A154" s="208">
        <f t="shared" si="19"/>
        <v>151</v>
      </c>
      <c r="B154" s="48" t="s">
        <v>2617</v>
      </c>
      <c r="C154" s="49" t="s">
        <v>2867</v>
      </c>
      <c r="D154" s="50" t="s">
        <v>3057</v>
      </c>
      <c r="E154" s="50" t="s">
        <v>3058</v>
      </c>
      <c r="F154" s="52">
        <v>46139</v>
      </c>
      <c r="G154" s="52">
        <v>46230</v>
      </c>
      <c r="H154" s="52">
        <v>46230</v>
      </c>
      <c r="I154" s="53">
        <v>46154</v>
      </c>
      <c r="J154" s="175">
        <f t="shared" si="20"/>
        <v>0</v>
      </c>
      <c r="K154" s="175">
        <v>1</v>
      </c>
      <c r="L154" s="175">
        <v>400</v>
      </c>
      <c r="M154" s="175">
        <v>770</v>
      </c>
      <c r="N154" s="703"/>
      <c r="O154" s="703"/>
      <c r="P154" s="316"/>
      <c r="Q154" s="49"/>
      <c r="R154" s="48" t="s">
        <v>2584</v>
      </c>
      <c r="S154" s="176">
        <v>46230</v>
      </c>
      <c r="T154" s="211">
        <v>46225</v>
      </c>
      <c r="U154" s="176"/>
      <c r="V154" s="176">
        <v>46227</v>
      </c>
      <c r="W154" s="213" t="s">
        <v>3059</v>
      </c>
      <c r="X154" s="159" t="s">
        <v>2871</v>
      </c>
    </row>
    <row r="155" s="3" customFormat="1" ht="25.5" hidden="1" customHeight="1" spans="1:25">
      <c r="A155" s="208">
        <f t="shared" si="19"/>
        <v>152</v>
      </c>
      <c r="B155" s="48" t="s">
        <v>2617</v>
      </c>
      <c r="C155" s="49" t="s">
        <v>2867</v>
      </c>
      <c r="D155" s="50" t="s">
        <v>3060</v>
      </c>
      <c r="E155" s="50" t="s">
        <v>3061</v>
      </c>
      <c r="F155" s="52">
        <v>46139</v>
      </c>
      <c r="G155" s="52">
        <v>46230</v>
      </c>
      <c r="H155" s="52">
        <v>46230</v>
      </c>
      <c r="I155" s="53">
        <v>46154</v>
      </c>
      <c r="J155" s="175">
        <f t="shared" si="20"/>
        <v>0</v>
      </c>
      <c r="K155" s="175">
        <v>1</v>
      </c>
      <c r="L155" s="175">
        <v>300</v>
      </c>
      <c r="M155" s="175">
        <v>550</v>
      </c>
      <c r="N155" s="703"/>
      <c r="O155" s="703"/>
      <c r="P155" s="316"/>
      <c r="Q155" s="49"/>
      <c r="R155" s="48" t="s">
        <v>2584</v>
      </c>
      <c r="S155" s="176">
        <v>46230</v>
      </c>
      <c r="T155" s="211">
        <v>46225</v>
      </c>
      <c r="U155" s="176"/>
      <c r="V155" s="176">
        <v>46227</v>
      </c>
      <c r="W155" s="213" t="s">
        <v>3062</v>
      </c>
      <c r="X155" s="159" t="s">
        <v>2871</v>
      </c>
    </row>
    <row r="156" s="3" customFormat="1" ht="25.5" hidden="1" customHeight="1" spans="1:25">
      <c r="A156" s="208">
        <f t="shared" si="19"/>
        <v>153</v>
      </c>
      <c r="B156" s="48" t="s">
        <v>3063</v>
      </c>
      <c r="C156" s="49" t="s">
        <v>726</v>
      </c>
      <c r="D156" s="50" t="s">
        <v>3064</v>
      </c>
      <c r="E156" s="50" t="s">
        <v>3065</v>
      </c>
      <c r="F156" s="52">
        <v>46203</v>
      </c>
      <c r="G156" s="52">
        <v>46233</v>
      </c>
      <c r="H156" s="52">
        <v>46233</v>
      </c>
      <c r="I156" s="53">
        <v>46206</v>
      </c>
      <c r="J156" s="175">
        <f>SUM(L156:O156)</f>
        <v>500</v>
      </c>
      <c r="K156" s="175">
        <v>1</v>
      </c>
      <c r="L156" s="175"/>
      <c r="M156" s="175">
        <v>500</v>
      </c>
      <c r="N156" s="703"/>
      <c r="O156" s="703"/>
      <c r="P156" s="624"/>
      <c r="Q156" s="48"/>
      <c r="R156" s="48" t="s">
        <v>2584</v>
      </c>
      <c r="S156" s="176">
        <v>46233</v>
      </c>
      <c r="T156" s="211">
        <v>46230</v>
      </c>
      <c r="U156" s="176"/>
      <c r="V156" s="176">
        <v>46230</v>
      </c>
      <c r="W156" s="213" t="s">
        <v>3066</v>
      </c>
      <c r="X156" s="159" t="s">
        <v>3067</v>
      </c>
    </row>
    <row r="157" s="3" customFormat="1" ht="27" hidden="1" customHeight="1" spans="1:25">
      <c r="A157" s="208">
        <f t="shared" si="19"/>
        <v>154</v>
      </c>
      <c r="B157" s="48" t="s">
        <v>3068</v>
      </c>
      <c r="C157" s="49" t="s">
        <v>1932</v>
      </c>
      <c r="D157" s="50" t="s">
        <v>3069</v>
      </c>
      <c r="E157" s="50" t="s">
        <v>3070</v>
      </c>
      <c r="F157" s="52">
        <v>46133</v>
      </c>
      <c r="G157" s="52">
        <v>46237</v>
      </c>
      <c r="H157" s="52">
        <v>46237</v>
      </c>
      <c r="I157" s="53">
        <v>46182</v>
      </c>
      <c r="J157" s="175">
        <f>SUBTOTAL(9,L157:O157)</f>
        <v>0</v>
      </c>
      <c r="K157" s="175">
        <v>1</v>
      </c>
      <c r="L157" s="175"/>
      <c r="M157" s="175">
        <v>1200</v>
      </c>
      <c r="N157" s="703"/>
      <c r="O157" s="703"/>
      <c r="P157" s="624"/>
      <c r="Q157" s="48"/>
      <c r="R157" s="48" t="s">
        <v>2584</v>
      </c>
      <c r="S157" s="176">
        <v>46237</v>
      </c>
      <c r="T157" s="211">
        <v>46230</v>
      </c>
      <c r="U157" s="176"/>
      <c r="V157" s="176">
        <v>46230</v>
      </c>
      <c r="W157" s="213" t="s">
        <v>3071</v>
      </c>
      <c r="X157" s="159" t="s">
        <v>2778</v>
      </c>
    </row>
    <row r="158" s="3" customFormat="1" ht="25.5" hidden="1" customHeight="1" spans="1:25">
      <c r="A158" s="208">
        <f t="shared" si="19"/>
        <v>155</v>
      </c>
      <c r="B158" s="48" t="s">
        <v>254</v>
      </c>
      <c r="C158" s="49" t="s">
        <v>77</v>
      </c>
      <c r="D158" s="50" t="s">
        <v>3072</v>
      </c>
      <c r="E158" s="50" t="s">
        <v>3073</v>
      </c>
      <c r="F158" s="52">
        <v>46099</v>
      </c>
      <c r="G158" s="52">
        <v>46240</v>
      </c>
      <c r="H158" s="52">
        <v>46240</v>
      </c>
      <c r="I158" s="53">
        <v>46125</v>
      </c>
      <c r="J158" s="175">
        <f t="shared" ref="J158:J166" si="21">SUM(L158:N158)</f>
        <v>300</v>
      </c>
      <c r="K158" s="175">
        <v>1</v>
      </c>
      <c r="L158" s="175"/>
      <c r="M158" s="175">
        <v>300</v>
      </c>
      <c r="N158" s="703"/>
      <c r="O158" s="703"/>
      <c r="P158" s="624"/>
      <c r="Q158" s="48"/>
      <c r="R158" s="48" t="s">
        <v>2584</v>
      </c>
      <c r="S158" s="176">
        <v>46240</v>
      </c>
      <c r="T158" s="211">
        <v>46230</v>
      </c>
      <c r="U158" s="176"/>
      <c r="V158" s="176">
        <v>46230</v>
      </c>
      <c r="W158" s="213" t="s">
        <v>3074</v>
      </c>
      <c r="X158" s="159" t="s">
        <v>2765</v>
      </c>
    </row>
    <row r="159" s="3" customFormat="1" ht="25.5" hidden="1" customHeight="1" spans="1:25">
      <c r="A159" s="208">
        <f t="shared" si="19"/>
        <v>156</v>
      </c>
      <c r="B159" s="48" t="s">
        <v>254</v>
      </c>
      <c r="C159" s="49" t="s">
        <v>77</v>
      </c>
      <c r="D159" s="50" t="s">
        <v>3075</v>
      </c>
      <c r="E159" s="50" t="s">
        <v>3076</v>
      </c>
      <c r="F159" s="52">
        <v>46099</v>
      </c>
      <c r="G159" s="52">
        <v>46240</v>
      </c>
      <c r="H159" s="52">
        <v>46240</v>
      </c>
      <c r="I159" s="53">
        <v>46125</v>
      </c>
      <c r="J159" s="175">
        <f t="shared" si="21"/>
        <v>152</v>
      </c>
      <c r="K159" s="175">
        <v>1</v>
      </c>
      <c r="L159" s="175"/>
      <c r="M159" s="175">
        <v>152</v>
      </c>
      <c r="N159" s="703"/>
      <c r="O159" s="703"/>
      <c r="P159" s="624"/>
      <c r="Q159" s="48"/>
      <c r="R159" s="48" t="s">
        <v>2584</v>
      </c>
      <c r="S159" s="176">
        <v>46240</v>
      </c>
      <c r="T159" s="211">
        <v>46230</v>
      </c>
      <c r="U159" s="176"/>
      <c r="V159" s="176">
        <v>46230</v>
      </c>
      <c r="W159" s="213" t="s">
        <v>3077</v>
      </c>
      <c r="X159" s="159" t="s">
        <v>2765</v>
      </c>
    </row>
    <row r="160" s="3" customFormat="1" ht="25.5" hidden="1" customHeight="1" spans="1:25">
      <c r="A160" s="208">
        <f t="shared" ref="A160:A177" si="22">ROW()-3</f>
        <v>157</v>
      </c>
      <c r="B160" s="48" t="s">
        <v>2617</v>
      </c>
      <c r="C160" s="49" t="s">
        <v>2867</v>
      </c>
      <c r="D160" s="50" t="s">
        <v>3078</v>
      </c>
      <c r="E160" s="50" t="s">
        <v>3079</v>
      </c>
      <c r="F160" s="52">
        <v>46139</v>
      </c>
      <c r="G160" s="52">
        <v>46244</v>
      </c>
      <c r="H160" s="52">
        <v>46244</v>
      </c>
      <c r="I160" s="53">
        <v>46154</v>
      </c>
      <c r="J160" s="175">
        <f t="shared" si="21"/>
        <v>1910</v>
      </c>
      <c r="K160" s="175">
        <v>1</v>
      </c>
      <c r="L160" s="175">
        <v>700</v>
      </c>
      <c r="M160" s="175">
        <v>1210</v>
      </c>
      <c r="N160" s="703"/>
      <c r="O160" s="703"/>
      <c r="P160" s="624"/>
      <c r="Q160" s="48"/>
      <c r="R160" s="48" t="s">
        <v>2584</v>
      </c>
      <c r="S160" s="176">
        <v>46244</v>
      </c>
      <c r="T160" s="308">
        <v>46245</v>
      </c>
      <c r="U160" s="176"/>
      <c r="V160" s="176">
        <v>46245</v>
      </c>
      <c r="W160" s="213" t="s">
        <v>3080</v>
      </c>
      <c r="X160" s="159" t="s">
        <v>2871</v>
      </c>
    </row>
    <row r="161" s="3" customFormat="1" ht="25.5" hidden="1" customHeight="1" spans="1:25">
      <c r="A161" s="208">
        <f t="shared" si="22"/>
        <v>158</v>
      </c>
      <c r="B161" s="48" t="s">
        <v>2617</v>
      </c>
      <c r="C161" s="49" t="s">
        <v>2867</v>
      </c>
      <c r="D161" s="50" t="s">
        <v>3081</v>
      </c>
      <c r="E161" s="50" t="s">
        <v>3082</v>
      </c>
      <c r="F161" s="52">
        <v>46139</v>
      </c>
      <c r="G161" s="52">
        <v>46244</v>
      </c>
      <c r="H161" s="52">
        <v>46244</v>
      </c>
      <c r="I161" s="53">
        <v>46154</v>
      </c>
      <c r="J161" s="175">
        <f t="shared" si="21"/>
        <v>1590</v>
      </c>
      <c r="K161" s="175">
        <v>1</v>
      </c>
      <c r="L161" s="175">
        <v>600</v>
      </c>
      <c r="M161" s="175">
        <v>990</v>
      </c>
      <c r="N161" s="703"/>
      <c r="O161" s="703"/>
      <c r="P161" s="624"/>
      <c r="Q161" s="48"/>
      <c r="R161" s="48" t="s">
        <v>2584</v>
      </c>
      <c r="S161" s="176">
        <v>46244</v>
      </c>
      <c r="T161" s="308">
        <v>46245</v>
      </c>
      <c r="U161" s="176"/>
      <c r="V161" s="176">
        <v>46245</v>
      </c>
      <c r="W161" s="213" t="s">
        <v>3083</v>
      </c>
      <c r="X161" s="159" t="s">
        <v>2871</v>
      </c>
    </row>
    <row r="162" s="3" customFormat="1" ht="25.5" hidden="1" customHeight="1" spans="1:25">
      <c r="A162" s="208">
        <f t="shared" si="22"/>
        <v>159</v>
      </c>
      <c r="B162" s="48" t="s">
        <v>2617</v>
      </c>
      <c r="C162" s="49" t="s">
        <v>2867</v>
      </c>
      <c r="D162" s="50" t="s">
        <v>3084</v>
      </c>
      <c r="E162" s="50" t="s">
        <v>3085</v>
      </c>
      <c r="F162" s="52">
        <v>46139</v>
      </c>
      <c r="G162" s="52">
        <v>46244</v>
      </c>
      <c r="H162" s="52">
        <v>46244</v>
      </c>
      <c r="I162" s="53">
        <v>46154</v>
      </c>
      <c r="J162" s="175">
        <f t="shared" si="21"/>
        <v>1700</v>
      </c>
      <c r="K162" s="175">
        <v>1</v>
      </c>
      <c r="L162" s="175">
        <v>600</v>
      </c>
      <c r="M162" s="175">
        <v>1100</v>
      </c>
      <c r="N162" s="703"/>
      <c r="O162" s="703"/>
      <c r="P162" s="624"/>
      <c r="Q162" s="48"/>
      <c r="R162" s="48" t="s">
        <v>2584</v>
      </c>
      <c r="S162" s="176">
        <v>46244</v>
      </c>
      <c r="T162" s="308">
        <v>46245</v>
      </c>
      <c r="U162" s="176"/>
      <c r="V162" s="176">
        <v>46245</v>
      </c>
      <c r="W162" s="213" t="s">
        <v>3086</v>
      </c>
      <c r="X162" s="159" t="s">
        <v>2871</v>
      </c>
    </row>
    <row r="163" s="3" customFormat="1" ht="25.5" hidden="1" customHeight="1" spans="1:25">
      <c r="A163" s="208">
        <f t="shared" si="22"/>
        <v>160</v>
      </c>
      <c r="B163" s="48" t="s">
        <v>2617</v>
      </c>
      <c r="C163" s="49" t="s">
        <v>2867</v>
      </c>
      <c r="D163" s="50" t="s">
        <v>3087</v>
      </c>
      <c r="E163" s="50" t="s">
        <v>3088</v>
      </c>
      <c r="F163" s="52">
        <v>46139</v>
      </c>
      <c r="G163" s="52">
        <v>46244</v>
      </c>
      <c r="H163" s="52">
        <v>46244</v>
      </c>
      <c r="I163" s="53">
        <v>46154</v>
      </c>
      <c r="J163" s="175">
        <f t="shared" si="21"/>
        <v>1280</v>
      </c>
      <c r="K163" s="175">
        <v>1</v>
      </c>
      <c r="L163" s="175">
        <v>400</v>
      </c>
      <c r="M163" s="175">
        <v>880</v>
      </c>
      <c r="N163" s="703"/>
      <c r="O163" s="703"/>
      <c r="P163" s="624"/>
      <c r="Q163" s="48"/>
      <c r="R163" s="48" t="s">
        <v>2584</v>
      </c>
      <c r="S163" s="176">
        <v>46244</v>
      </c>
      <c r="T163" s="308">
        <v>46245</v>
      </c>
      <c r="U163" s="176"/>
      <c r="V163" s="176">
        <v>46245</v>
      </c>
      <c r="W163" s="213" t="s">
        <v>3089</v>
      </c>
      <c r="X163" s="159" t="s">
        <v>2871</v>
      </c>
    </row>
    <row r="164" s="3" customFormat="1" ht="25.5" hidden="1" customHeight="1" spans="1:25">
      <c r="A164" s="208">
        <f t="shared" si="22"/>
        <v>161</v>
      </c>
      <c r="B164" s="48" t="s">
        <v>2617</v>
      </c>
      <c r="C164" s="49" t="s">
        <v>2867</v>
      </c>
      <c r="D164" s="50" t="s">
        <v>3090</v>
      </c>
      <c r="E164" s="50" t="s">
        <v>3091</v>
      </c>
      <c r="F164" s="52">
        <v>46139</v>
      </c>
      <c r="G164" s="52">
        <v>46244</v>
      </c>
      <c r="H164" s="52">
        <v>46244</v>
      </c>
      <c r="I164" s="53">
        <v>46154</v>
      </c>
      <c r="J164" s="175">
        <f t="shared" si="21"/>
        <v>2550</v>
      </c>
      <c r="K164" s="175">
        <v>1</v>
      </c>
      <c r="L164" s="175">
        <v>900</v>
      </c>
      <c r="M164" s="175">
        <v>1650</v>
      </c>
      <c r="N164" s="703"/>
      <c r="O164" s="703"/>
      <c r="P164" s="624"/>
      <c r="Q164" s="48"/>
      <c r="R164" s="48" t="s">
        <v>2584</v>
      </c>
      <c r="S164" s="176">
        <v>46244</v>
      </c>
      <c r="T164" s="308">
        <v>46245</v>
      </c>
      <c r="U164" s="176"/>
      <c r="V164" s="176">
        <v>46245</v>
      </c>
      <c r="W164" s="213" t="s">
        <v>3092</v>
      </c>
      <c r="X164" s="159" t="s">
        <v>2871</v>
      </c>
    </row>
    <row r="165" s="3" customFormat="1" ht="25.5" hidden="1" customHeight="1" spans="1:25">
      <c r="A165" s="208">
        <f t="shared" si="22"/>
        <v>162</v>
      </c>
      <c r="B165" s="48" t="s">
        <v>2617</v>
      </c>
      <c r="C165" s="49" t="s">
        <v>2867</v>
      </c>
      <c r="D165" s="50" t="s">
        <v>3093</v>
      </c>
      <c r="E165" s="50" t="s">
        <v>3094</v>
      </c>
      <c r="F165" s="52">
        <v>46139</v>
      </c>
      <c r="G165" s="52">
        <v>46244</v>
      </c>
      <c r="H165" s="52">
        <v>46244</v>
      </c>
      <c r="I165" s="53">
        <v>46154</v>
      </c>
      <c r="J165" s="175">
        <f t="shared" si="21"/>
        <v>2440</v>
      </c>
      <c r="K165" s="175">
        <v>1</v>
      </c>
      <c r="L165" s="175">
        <v>900</v>
      </c>
      <c r="M165" s="175">
        <v>1540</v>
      </c>
      <c r="N165" s="703"/>
      <c r="O165" s="703"/>
      <c r="P165" s="624"/>
      <c r="Q165" s="48"/>
      <c r="R165" s="48" t="s">
        <v>2584</v>
      </c>
      <c r="S165" s="176">
        <v>46244</v>
      </c>
      <c r="T165" s="308">
        <v>46245</v>
      </c>
      <c r="U165" s="176"/>
      <c r="V165" s="176">
        <v>46245</v>
      </c>
      <c r="W165" s="213" t="s">
        <v>3095</v>
      </c>
      <c r="X165" s="159" t="s">
        <v>2871</v>
      </c>
    </row>
    <row r="166" s="3" customFormat="1" ht="25.5" hidden="1" customHeight="1" spans="1:25">
      <c r="A166" s="208">
        <f t="shared" si="22"/>
        <v>163</v>
      </c>
      <c r="B166" s="48" t="s">
        <v>2617</v>
      </c>
      <c r="C166" s="49" t="s">
        <v>2867</v>
      </c>
      <c r="D166" s="50" t="s">
        <v>3096</v>
      </c>
      <c r="E166" s="50" t="s">
        <v>3097</v>
      </c>
      <c r="F166" s="52">
        <v>46139</v>
      </c>
      <c r="G166" s="52">
        <v>46244</v>
      </c>
      <c r="H166" s="52">
        <v>46244</v>
      </c>
      <c r="I166" s="53">
        <v>46154</v>
      </c>
      <c r="J166" s="175">
        <f t="shared" si="21"/>
        <v>1600</v>
      </c>
      <c r="K166" s="175">
        <v>1</v>
      </c>
      <c r="L166" s="175">
        <v>500</v>
      </c>
      <c r="M166" s="175">
        <v>1100</v>
      </c>
      <c r="N166" s="703"/>
      <c r="O166" s="703"/>
      <c r="P166" s="624"/>
      <c r="Q166" s="48"/>
      <c r="R166" s="48" t="s">
        <v>2584</v>
      </c>
      <c r="S166" s="176">
        <v>46244</v>
      </c>
      <c r="T166" s="308">
        <v>46245</v>
      </c>
      <c r="U166" s="176"/>
      <c r="V166" s="176">
        <v>46245</v>
      </c>
      <c r="W166" s="213" t="s">
        <v>3098</v>
      </c>
      <c r="X166" s="159" t="s">
        <v>2871</v>
      </c>
    </row>
    <row r="167" s="3" customFormat="1" ht="25.5" hidden="1" customHeight="1" spans="1:25">
      <c r="A167" s="208">
        <f t="shared" si="22"/>
        <v>164</v>
      </c>
      <c r="B167" s="48" t="s">
        <v>2597</v>
      </c>
      <c r="C167" s="49" t="s">
        <v>342</v>
      </c>
      <c r="D167" s="50" t="s">
        <v>2516</v>
      </c>
      <c r="E167" s="50" t="s">
        <v>2517</v>
      </c>
      <c r="F167" s="52">
        <v>46114</v>
      </c>
      <c r="G167" s="52">
        <v>46245</v>
      </c>
      <c r="H167" s="52">
        <v>46245</v>
      </c>
      <c r="I167" s="53">
        <v>46209</v>
      </c>
      <c r="J167" s="175">
        <f>SUM(L167:O167)</f>
        <v>2452</v>
      </c>
      <c r="K167" s="175">
        <v>1</v>
      </c>
      <c r="L167" s="175">
        <v>628</v>
      </c>
      <c r="M167" s="175">
        <v>1408</v>
      </c>
      <c r="N167" s="703"/>
      <c r="O167" s="703">
        <v>416</v>
      </c>
      <c r="P167" s="624"/>
      <c r="Q167" s="48"/>
      <c r="R167" s="48" t="s">
        <v>2584</v>
      </c>
      <c r="S167" s="176">
        <v>46245</v>
      </c>
      <c r="T167" s="308">
        <v>46245</v>
      </c>
      <c r="U167" s="176"/>
      <c r="V167" s="176">
        <v>46245</v>
      </c>
      <c r="W167" s="213" t="s">
        <v>2505</v>
      </c>
      <c r="X167" s="159" t="s">
        <v>3099</v>
      </c>
    </row>
    <row r="168" s="3" customFormat="1" ht="25.5" customHeight="1" spans="1:25">
      <c r="A168" s="208">
        <f t="shared" si="22"/>
        <v>165</v>
      </c>
      <c r="B168" s="48" t="s">
        <v>3063</v>
      </c>
      <c r="C168" s="49" t="s">
        <v>726</v>
      </c>
      <c r="D168" s="50" t="s">
        <v>3100</v>
      </c>
      <c r="E168" s="50" t="s">
        <v>3101</v>
      </c>
      <c r="F168" s="52">
        <v>46206</v>
      </c>
      <c r="G168" s="52">
        <v>46246</v>
      </c>
      <c r="H168" s="52">
        <v>46246</v>
      </c>
      <c r="I168" s="53">
        <v>46209</v>
      </c>
      <c r="J168" s="175">
        <f>SUM(L168:O168)</f>
        <v>600</v>
      </c>
      <c r="K168" s="175"/>
      <c r="L168" s="175">
        <v>300</v>
      </c>
      <c r="M168" s="175"/>
      <c r="N168" s="703">
        <v>300</v>
      </c>
      <c r="O168" s="703"/>
      <c r="P168" s="624"/>
      <c r="Q168" s="48"/>
      <c r="R168" s="48" t="s">
        <v>2584</v>
      </c>
      <c r="S168" s="176">
        <v>46246</v>
      </c>
      <c r="T168" s="308">
        <v>46217</v>
      </c>
      <c r="U168" s="176"/>
      <c r="V168" s="176"/>
      <c r="W168" s="213" t="s">
        <v>3102</v>
      </c>
      <c r="X168" s="159" t="s">
        <v>3103</v>
      </c>
    </row>
    <row r="169" s="3" customFormat="1" ht="25.5" hidden="1" customHeight="1" spans="1:25">
      <c r="A169" s="208">
        <f t="shared" si="22"/>
        <v>166</v>
      </c>
      <c r="B169" s="48" t="s">
        <v>3104</v>
      </c>
      <c r="C169" s="49" t="s">
        <v>114</v>
      </c>
      <c r="D169" s="50" t="s">
        <v>3105</v>
      </c>
      <c r="E169" s="50" t="s">
        <v>3106</v>
      </c>
      <c r="F169" s="52">
        <v>46168</v>
      </c>
      <c r="G169" s="52">
        <v>46248</v>
      </c>
      <c r="H169" s="52">
        <v>46248</v>
      </c>
      <c r="I169" s="53">
        <v>46202</v>
      </c>
      <c r="J169" s="175">
        <f>SUBTOTAL(9,L169:M169)</f>
        <v>0</v>
      </c>
      <c r="K169" s="175">
        <v>1</v>
      </c>
      <c r="L169" s="175">
        <v>144</v>
      </c>
      <c r="M169" s="175">
        <v>144</v>
      </c>
      <c r="N169" s="703"/>
      <c r="O169" s="703"/>
      <c r="P169" s="624"/>
      <c r="Q169" s="48"/>
      <c r="R169" s="48" t="s">
        <v>2584</v>
      </c>
      <c r="S169" s="176">
        <v>46248</v>
      </c>
      <c r="T169" s="308">
        <v>46245</v>
      </c>
      <c r="U169" s="176"/>
      <c r="V169" s="176">
        <v>46245</v>
      </c>
      <c r="W169" s="213" t="s">
        <v>3107</v>
      </c>
      <c r="X169" s="159" t="s">
        <v>3108</v>
      </c>
    </row>
    <row r="170" s="3" customFormat="1" ht="25.5" hidden="1" customHeight="1" spans="1:25">
      <c r="A170" s="208">
        <f t="shared" si="22"/>
        <v>167</v>
      </c>
      <c r="B170" s="48" t="s">
        <v>3104</v>
      </c>
      <c r="C170" s="49" t="s">
        <v>114</v>
      </c>
      <c r="D170" s="50" t="s">
        <v>3109</v>
      </c>
      <c r="E170" s="50" t="s">
        <v>3110</v>
      </c>
      <c r="F170" s="52">
        <v>46168</v>
      </c>
      <c r="G170" s="52">
        <v>46248</v>
      </c>
      <c r="H170" s="52">
        <v>46248</v>
      </c>
      <c r="I170" s="53">
        <v>46202</v>
      </c>
      <c r="J170" s="175">
        <f>SUBTOTAL(9,L170:M170)</f>
        <v>0</v>
      </c>
      <c r="K170" s="175">
        <v>1</v>
      </c>
      <c r="L170" s="175">
        <v>410</v>
      </c>
      <c r="M170" s="175">
        <v>410</v>
      </c>
      <c r="N170" s="703"/>
      <c r="O170" s="703"/>
      <c r="P170" s="624"/>
      <c r="Q170" s="48"/>
      <c r="R170" s="48" t="s">
        <v>2584</v>
      </c>
      <c r="S170" s="176">
        <v>46248</v>
      </c>
      <c r="T170" s="308">
        <v>46245</v>
      </c>
      <c r="U170" s="176"/>
      <c r="V170" s="176">
        <v>46245</v>
      </c>
      <c r="W170" s="213" t="s">
        <v>3111</v>
      </c>
      <c r="X170" s="159" t="s">
        <v>3108</v>
      </c>
    </row>
    <row r="171" s="3" customFormat="1" ht="25.5" hidden="1" customHeight="1" spans="1:25">
      <c r="A171" s="208">
        <f t="shared" si="22"/>
        <v>168</v>
      </c>
      <c r="B171" s="48" t="s">
        <v>3104</v>
      </c>
      <c r="C171" s="49" t="s">
        <v>114</v>
      </c>
      <c r="D171" s="50" t="s">
        <v>3112</v>
      </c>
      <c r="E171" s="50" t="s">
        <v>3113</v>
      </c>
      <c r="F171" s="52">
        <v>46168</v>
      </c>
      <c r="G171" s="52">
        <v>46248</v>
      </c>
      <c r="H171" s="52">
        <v>46248</v>
      </c>
      <c r="I171" s="53">
        <v>46202</v>
      </c>
      <c r="J171" s="175">
        <f>SUBTOTAL(9,L171:M171)</f>
        <v>0</v>
      </c>
      <c r="K171" s="175">
        <v>1</v>
      </c>
      <c r="L171" s="175">
        <v>402</v>
      </c>
      <c r="M171" s="175">
        <v>402</v>
      </c>
      <c r="N171" s="703"/>
      <c r="O171" s="703"/>
      <c r="P171" s="624"/>
      <c r="Q171" s="48"/>
      <c r="R171" s="48" t="s">
        <v>2584</v>
      </c>
      <c r="S171" s="176">
        <v>46248</v>
      </c>
      <c r="T171" s="308">
        <v>46245</v>
      </c>
      <c r="U171" s="176"/>
      <c r="V171" s="176">
        <v>46245</v>
      </c>
      <c r="W171" s="213" t="s">
        <v>3114</v>
      </c>
      <c r="X171" s="159" t="s">
        <v>3108</v>
      </c>
    </row>
    <row r="172" s="3" customFormat="1" ht="25.5" hidden="1" customHeight="1" spans="1:25">
      <c r="A172" s="208">
        <f t="shared" si="22"/>
        <v>169</v>
      </c>
      <c r="B172" s="48" t="s">
        <v>3104</v>
      </c>
      <c r="C172" s="49" t="s">
        <v>114</v>
      </c>
      <c r="D172" s="50" t="s">
        <v>3115</v>
      </c>
      <c r="E172" s="50" t="s">
        <v>3116</v>
      </c>
      <c r="F172" s="52">
        <v>46168</v>
      </c>
      <c r="G172" s="52">
        <v>46248</v>
      </c>
      <c r="H172" s="52">
        <v>46248</v>
      </c>
      <c r="I172" s="53">
        <v>46202</v>
      </c>
      <c r="J172" s="175">
        <f>SUBTOTAL(9,L172:M172)</f>
        <v>0</v>
      </c>
      <c r="K172" s="175">
        <v>1</v>
      </c>
      <c r="L172" s="175">
        <v>544</v>
      </c>
      <c r="M172" s="175">
        <v>544</v>
      </c>
      <c r="N172" s="703"/>
      <c r="O172" s="703"/>
      <c r="P172" s="624"/>
      <c r="Q172" s="48"/>
      <c r="R172" s="48" t="s">
        <v>2584</v>
      </c>
      <c r="S172" s="176">
        <v>46248</v>
      </c>
      <c r="T172" s="308">
        <v>46245</v>
      </c>
      <c r="U172" s="176"/>
      <c r="V172" s="176">
        <v>46245</v>
      </c>
      <c r="W172" s="213" t="s">
        <v>3117</v>
      </c>
      <c r="X172" s="159" t="s">
        <v>3108</v>
      </c>
    </row>
    <row r="173" s="3" customFormat="1" ht="25.5" hidden="1" customHeight="1" spans="1:25">
      <c r="A173" s="208">
        <f t="shared" si="22"/>
        <v>170</v>
      </c>
      <c r="B173" s="48" t="s">
        <v>2890</v>
      </c>
      <c r="C173" s="49" t="s">
        <v>1674</v>
      </c>
      <c r="D173" s="50" t="s">
        <v>3118</v>
      </c>
      <c r="E173" s="50" t="s">
        <v>3119</v>
      </c>
      <c r="F173" s="52">
        <v>46157</v>
      </c>
      <c r="G173" s="52">
        <v>46253</v>
      </c>
      <c r="H173" s="52">
        <v>46253</v>
      </c>
      <c r="I173" s="53">
        <v>46237</v>
      </c>
      <c r="J173" s="175">
        <f>SUM(L173:O173)</f>
        <v>500</v>
      </c>
      <c r="K173" s="175">
        <v>1</v>
      </c>
      <c r="L173" s="175">
        <v>500</v>
      </c>
      <c r="M173" s="175"/>
      <c r="N173" s="703"/>
      <c r="O173" s="703"/>
      <c r="P173" s="624"/>
      <c r="Q173" s="48"/>
      <c r="R173" s="48" t="s">
        <v>2584</v>
      </c>
      <c r="S173" s="176">
        <v>46253</v>
      </c>
      <c r="T173" s="308">
        <v>46245</v>
      </c>
      <c r="U173" s="176"/>
      <c r="V173" s="176">
        <v>46245</v>
      </c>
      <c r="W173" s="213" t="s">
        <v>3120</v>
      </c>
      <c r="X173" s="159" t="s">
        <v>2894</v>
      </c>
    </row>
    <row r="174" s="3" customFormat="1" ht="27" customHeight="1" spans="1:25">
      <c r="A174" s="215">
        <f t="shared" ref="A174:A185" si="23">ROW()-3</f>
        <v>171</v>
      </c>
      <c r="B174" s="487" t="s">
        <v>2617</v>
      </c>
      <c r="C174" s="146" t="s">
        <v>2867</v>
      </c>
      <c r="D174" s="488" t="s">
        <v>3121</v>
      </c>
      <c r="E174" s="488" t="s">
        <v>3122</v>
      </c>
      <c r="F174" s="489">
        <v>46261</v>
      </c>
      <c r="G174" s="489">
        <v>46295</v>
      </c>
      <c r="H174" s="489">
        <v>46295</v>
      </c>
      <c r="I174" s="490">
        <v>46262</v>
      </c>
      <c r="J174" s="727">
        <f t="shared" ref="J174:J184" si="24">SUM(L174:P174)</f>
        <v>2200</v>
      </c>
      <c r="K174" s="727">
        <v>1</v>
      </c>
      <c r="L174" s="95">
        <v>2200</v>
      </c>
      <c r="M174" s="95"/>
      <c r="N174" s="728"/>
      <c r="O174" s="728"/>
      <c r="P174" s="729"/>
      <c r="Q174" s="183" t="s">
        <v>794</v>
      </c>
      <c r="R174" s="183" t="s">
        <v>2584</v>
      </c>
      <c r="S174" s="280">
        <v>46295</v>
      </c>
      <c r="T174" s="222"/>
      <c r="U174" s="97"/>
      <c r="V174" s="97"/>
      <c r="W174" s="224" t="s">
        <v>3123</v>
      </c>
      <c r="X174" s="159" t="s">
        <v>3124</v>
      </c>
      <c r="Y174" s="3" t="s">
        <v>3125</v>
      </c>
    </row>
    <row r="175" s="3" customFormat="1" ht="27" customHeight="1" spans="1:25">
      <c r="A175" s="215">
        <f t="shared" si="23"/>
        <v>172</v>
      </c>
      <c r="B175" s="487" t="s">
        <v>2617</v>
      </c>
      <c r="C175" s="146" t="s">
        <v>2867</v>
      </c>
      <c r="D175" s="488" t="s">
        <v>3126</v>
      </c>
      <c r="E175" s="488" t="s">
        <v>3127</v>
      </c>
      <c r="F175" s="489">
        <v>46261</v>
      </c>
      <c r="G175" s="489">
        <v>46295</v>
      </c>
      <c r="H175" s="489">
        <v>46295</v>
      </c>
      <c r="I175" s="490">
        <v>46262</v>
      </c>
      <c r="J175" s="727">
        <f t="shared" si="24"/>
        <v>1900</v>
      </c>
      <c r="K175" s="727">
        <v>1</v>
      </c>
      <c r="L175" s="95">
        <v>1900</v>
      </c>
      <c r="M175" s="95"/>
      <c r="N175" s="728"/>
      <c r="O175" s="728"/>
      <c r="P175" s="729"/>
      <c r="Q175" s="183" t="s">
        <v>794</v>
      </c>
      <c r="R175" s="183" t="s">
        <v>2584</v>
      </c>
      <c r="S175" s="280">
        <v>46295</v>
      </c>
      <c r="T175" s="222"/>
      <c r="U175" s="97"/>
      <c r="V175" s="97"/>
      <c r="W175" s="224" t="s">
        <v>3128</v>
      </c>
      <c r="X175" s="159" t="s">
        <v>3124</v>
      </c>
      <c r="Y175" s="3" t="s">
        <v>3125</v>
      </c>
    </row>
    <row r="176" s="3" customFormat="1" ht="27" customHeight="1" spans="1:25">
      <c r="A176" s="215">
        <f t="shared" si="23"/>
        <v>173</v>
      </c>
      <c r="B176" s="487" t="s">
        <v>2617</v>
      </c>
      <c r="C176" s="146" t="s">
        <v>2867</v>
      </c>
      <c r="D176" s="488" t="s">
        <v>3129</v>
      </c>
      <c r="E176" s="488" t="s">
        <v>3130</v>
      </c>
      <c r="F176" s="489">
        <v>46261</v>
      </c>
      <c r="G176" s="489">
        <v>46295</v>
      </c>
      <c r="H176" s="489">
        <v>46295</v>
      </c>
      <c r="I176" s="490">
        <v>46262</v>
      </c>
      <c r="J176" s="727">
        <f t="shared" si="24"/>
        <v>3100</v>
      </c>
      <c r="K176" s="727">
        <v>1</v>
      </c>
      <c r="L176" s="95">
        <v>3100</v>
      </c>
      <c r="M176" s="95"/>
      <c r="N176" s="728"/>
      <c r="O176" s="728"/>
      <c r="P176" s="729"/>
      <c r="Q176" s="183" t="s">
        <v>794</v>
      </c>
      <c r="R176" s="183" t="s">
        <v>2584</v>
      </c>
      <c r="S176" s="280">
        <v>46295</v>
      </c>
      <c r="T176" s="222"/>
      <c r="U176" s="97"/>
      <c r="V176" s="97"/>
      <c r="W176" s="224" t="s">
        <v>3131</v>
      </c>
      <c r="X176" s="159" t="s">
        <v>3124</v>
      </c>
      <c r="Y176" s="3" t="s">
        <v>3125</v>
      </c>
    </row>
    <row r="177" s="3" customFormat="1" ht="27" customHeight="1" spans="1:25">
      <c r="A177" s="215">
        <f t="shared" si="23"/>
        <v>174</v>
      </c>
      <c r="B177" s="487" t="s">
        <v>2617</v>
      </c>
      <c r="C177" s="146" t="s">
        <v>2867</v>
      </c>
      <c r="D177" s="488" t="s">
        <v>3132</v>
      </c>
      <c r="E177" s="488" t="s">
        <v>3133</v>
      </c>
      <c r="F177" s="489">
        <v>46261</v>
      </c>
      <c r="G177" s="489">
        <v>46295</v>
      </c>
      <c r="H177" s="489">
        <v>46295</v>
      </c>
      <c r="I177" s="490">
        <v>46262</v>
      </c>
      <c r="J177" s="727">
        <f t="shared" si="24"/>
        <v>2500</v>
      </c>
      <c r="K177" s="727">
        <v>1</v>
      </c>
      <c r="L177" s="95">
        <v>2500</v>
      </c>
      <c r="M177" s="95"/>
      <c r="N177" s="728"/>
      <c r="O177" s="728"/>
      <c r="P177" s="729"/>
      <c r="Q177" s="183" t="s">
        <v>794</v>
      </c>
      <c r="R177" s="183" t="s">
        <v>2584</v>
      </c>
      <c r="S177" s="280">
        <v>46295</v>
      </c>
      <c r="T177" s="222"/>
      <c r="U177" s="97"/>
      <c r="V177" s="97"/>
      <c r="W177" s="224" t="s">
        <v>3134</v>
      </c>
      <c r="X177" s="159" t="s">
        <v>3124</v>
      </c>
      <c r="Y177" s="3" t="s">
        <v>3125</v>
      </c>
    </row>
    <row r="178" s="3" customFormat="1" ht="27" customHeight="1" spans="1:25">
      <c r="A178" s="215">
        <f t="shared" si="23"/>
        <v>175</v>
      </c>
      <c r="B178" s="487" t="s">
        <v>2617</v>
      </c>
      <c r="C178" s="146" t="s">
        <v>2867</v>
      </c>
      <c r="D178" s="488" t="s">
        <v>3135</v>
      </c>
      <c r="E178" s="488" t="s">
        <v>3136</v>
      </c>
      <c r="F178" s="489">
        <v>46261</v>
      </c>
      <c r="G178" s="489">
        <v>46295</v>
      </c>
      <c r="H178" s="489">
        <v>46295</v>
      </c>
      <c r="I178" s="490">
        <v>46262</v>
      </c>
      <c r="J178" s="727">
        <f t="shared" si="24"/>
        <v>2300</v>
      </c>
      <c r="K178" s="727">
        <v>1</v>
      </c>
      <c r="L178" s="95">
        <v>2300</v>
      </c>
      <c r="M178" s="95"/>
      <c r="N178" s="728"/>
      <c r="O178" s="728"/>
      <c r="P178" s="729"/>
      <c r="Q178" s="183" t="s">
        <v>794</v>
      </c>
      <c r="R178" s="183" t="s">
        <v>2584</v>
      </c>
      <c r="S178" s="280">
        <v>46295</v>
      </c>
      <c r="T178" s="222"/>
      <c r="U178" s="97"/>
      <c r="V178" s="97"/>
      <c r="W178" s="224" t="s">
        <v>3137</v>
      </c>
      <c r="X178" s="159" t="s">
        <v>3124</v>
      </c>
      <c r="Y178" s="3" t="s">
        <v>3125</v>
      </c>
    </row>
    <row r="179" s="3" customFormat="1" ht="27" customHeight="1" spans="1:25">
      <c r="A179" s="215">
        <f t="shared" si="23"/>
        <v>176</v>
      </c>
      <c r="B179" s="487" t="s">
        <v>2617</v>
      </c>
      <c r="C179" s="146" t="s">
        <v>2867</v>
      </c>
      <c r="D179" s="488" t="s">
        <v>3138</v>
      </c>
      <c r="E179" s="488" t="s">
        <v>3139</v>
      </c>
      <c r="F179" s="489">
        <v>46261</v>
      </c>
      <c r="G179" s="489">
        <v>46295</v>
      </c>
      <c r="H179" s="489">
        <v>46295</v>
      </c>
      <c r="I179" s="490">
        <v>46262</v>
      </c>
      <c r="J179" s="727">
        <f t="shared" si="24"/>
        <v>1700</v>
      </c>
      <c r="K179" s="727">
        <v>1</v>
      </c>
      <c r="L179" s="95">
        <v>1700</v>
      </c>
      <c r="M179" s="95"/>
      <c r="N179" s="728"/>
      <c r="O179" s="728"/>
      <c r="P179" s="729"/>
      <c r="Q179" s="183" t="s">
        <v>794</v>
      </c>
      <c r="R179" s="183" t="s">
        <v>2584</v>
      </c>
      <c r="S179" s="280">
        <v>46295</v>
      </c>
      <c r="T179" s="222"/>
      <c r="U179" s="97"/>
      <c r="V179" s="97"/>
      <c r="W179" s="224" t="s">
        <v>3140</v>
      </c>
      <c r="X179" s="159" t="s">
        <v>3124</v>
      </c>
      <c r="Y179" s="3" t="s">
        <v>3125</v>
      </c>
    </row>
    <row r="180" s="3" customFormat="1" ht="27" customHeight="1" spans="1:25">
      <c r="A180" s="215">
        <f t="shared" si="23"/>
        <v>177</v>
      </c>
      <c r="B180" s="487" t="s">
        <v>2617</v>
      </c>
      <c r="C180" s="146" t="s">
        <v>2867</v>
      </c>
      <c r="D180" s="488" t="s">
        <v>3141</v>
      </c>
      <c r="E180" s="488" t="s">
        <v>3142</v>
      </c>
      <c r="F180" s="489">
        <v>46261</v>
      </c>
      <c r="G180" s="489">
        <v>46295</v>
      </c>
      <c r="H180" s="489">
        <v>46295</v>
      </c>
      <c r="I180" s="490">
        <v>46262</v>
      </c>
      <c r="J180" s="727">
        <f t="shared" si="24"/>
        <v>1900</v>
      </c>
      <c r="K180" s="727">
        <v>1</v>
      </c>
      <c r="L180" s="95">
        <v>1900</v>
      </c>
      <c r="M180" s="95"/>
      <c r="N180" s="728"/>
      <c r="O180" s="728"/>
      <c r="P180" s="729"/>
      <c r="Q180" s="183" t="s">
        <v>794</v>
      </c>
      <c r="R180" s="183" t="s">
        <v>2584</v>
      </c>
      <c r="S180" s="280">
        <v>46295</v>
      </c>
      <c r="T180" s="222"/>
      <c r="U180" s="97"/>
      <c r="V180" s="97"/>
      <c r="W180" s="224" t="s">
        <v>3143</v>
      </c>
      <c r="X180" s="159" t="s">
        <v>3124</v>
      </c>
      <c r="Y180" s="3" t="s">
        <v>3125</v>
      </c>
    </row>
    <row r="181" s="3" customFormat="1" ht="25.5" customHeight="1" spans="1:25">
      <c r="A181" s="215">
        <f t="shared" ref="A181:A188" si="25">ROW()-3</f>
        <v>178</v>
      </c>
      <c r="B181" s="487" t="s">
        <v>3144</v>
      </c>
      <c r="C181" s="146" t="s">
        <v>342</v>
      </c>
      <c r="D181" s="488" t="s">
        <v>3145</v>
      </c>
      <c r="E181" s="488" t="s">
        <v>3146</v>
      </c>
      <c r="F181" s="489">
        <v>46233</v>
      </c>
      <c r="G181" s="489">
        <v>46295</v>
      </c>
      <c r="H181" s="489">
        <v>46295</v>
      </c>
      <c r="I181" s="490">
        <v>46273</v>
      </c>
      <c r="J181" s="727">
        <f t="shared" si="24"/>
        <v>1320</v>
      </c>
      <c r="K181" s="727">
        <v>1</v>
      </c>
      <c r="L181" s="95"/>
      <c r="M181" s="95"/>
      <c r="N181" s="728"/>
      <c r="O181" s="728"/>
      <c r="P181" s="729">
        <v>1320</v>
      </c>
      <c r="Q181" s="183" t="s">
        <v>315</v>
      </c>
      <c r="R181" s="183" t="s">
        <v>2584</v>
      </c>
      <c r="S181" s="280">
        <v>46295</v>
      </c>
      <c r="T181" s="222"/>
      <c r="U181" s="97"/>
      <c r="V181" s="97"/>
      <c r="W181" s="224" t="s">
        <v>3147</v>
      </c>
      <c r="X181" s="159" t="s">
        <v>3148</v>
      </c>
      <c r="Y181" s="3" t="s">
        <v>3149</v>
      </c>
    </row>
    <row r="182" s="3" customFormat="1" ht="27" customHeight="1" spans="1:25">
      <c r="A182" s="215">
        <f t="shared" si="25"/>
        <v>179</v>
      </c>
      <c r="B182" s="487" t="s">
        <v>2591</v>
      </c>
      <c r="C182" s="146" t="s">
        <v>1932</v>
      </c>
      <c r="D182" s="488" t="s">
        <v>3150</v>
      </c>
      <c r="E182" s="488" t="s">
        <v>3151</v>
      </c>
      <c r="F182" s="489">
        <v>46265</v>
      </c>
      <c r="G182" s="489">
        <v>46295</v>
      </c>
      <c r="H182" s="489">
        <v>46295</v>
      </c>
      <c r="I182" s="490">
        <v>46265</v>
      </c>
      <c r="J182" s="727">
        <f t="shared" si="24"/>
        <v>800</v>
      </c>
      <c r="K182" s="727">
        <v>1</v>
      </c>
      <c r="L182" s="95"/>
      <c r="M182" s="95"/>
      <c r="N182" s="728"/>
      <c r="O182" s="728"/>
      <c r="P182" s="729">
        <v>800</v>
      </c>
      <c r="Q182" s="183" t="s">
        <v>3152</v>
      </c>
      <c r="R182" s="183" t="s">
        <v>2584</v>
      </c>
      <c r="S182" s="280">
        <v>46295</v>
      </c>
      <c r="T182" s="222"/>
      <c r="U182" s="97"/>
      <c r="V182" s="97"/>
      <c r="W182" s="224" t="s">
        <v>3153</v>
      </c>
      <c r="X182" s="159" t="s">
        <v>3148</v>
      </c>
      <c r="Y182" s="3" t="s">
        <v>3154</v>
      </c>
    </row>
    <row r="183" s="3" customFormat="1" ht="25.5" customHeight="1" spans="1:25">
      <c r="A183" s="215">
        <f t="shared" si="25"/>
        <v>180</v>
      </c>
      <c r="B183" s="487" t="s">
        <v>1859</v>
      </c>
      <c r="C183" s="146" t="s">
        <v>3155</v>
      </c>
      <c r="D183" s="573" t="s">
        <v>3156</v>
      </c>
      <c r="E183" s="488" t="s">
        <v>3157</v>
      </c>
      <c r="F183" s="489">
        <v>46267</v>
      </c>
      <c r="G183" s="489">
        <v>46308</v>
      </c>
      <c r="H183" s="489">
        <v>46308</v>
      </c>
      <c r="I183" s="490">
        <v>46274</v>
      </c>
      <c r="J183" s="727">
        <f t="shared" si="24"/>
        <v>1320</v>
      </c>
      <c r="K183" s="727">
        <v>1</v>
      </c>
      <c r="L183" s="95"/>
      <c r="M183" s="95">
        <v>1320</v>
      </c>
      <c r="N183" s="728"/>
      <c r="O183" s="728"/>
      <c r="P183" s="729"/>
      <c r="Q183" s="183" t="s">
        <v>3158</v>
      </c>
      <c r="R183" s="183" t="s">
        <v>2584</v>
      </c>
      <c r="S183" s="280">
        <v>46308</v>
      </c>
      <c r="T183" s="222"/>
      <c r="U183" s="97"/>
      <c r="V183" s="97"/>
      <c r="W183" s="224" t="s">
        <v>3159</v>
      </c>
      <c r="X183" s="159" t="s">
        <v>2854</v>
      </c>
      <c r="Y183" s="3" t="s">
        <v>3160</v>
      </c>
    </row>
    <row r="184" s="3" customFormat="1" ht="25.5" customHeight="1" spans="1:25">
      <c r="A184" s="215">
        <f t="shared" si="25"/>
        <v>181</v>
      </c>
      <c r="B184" s="730" t="s">
        <v>485</v>
      </c>
      <c r="C184" s="731" t="s">
        <v>486</v>
      </c>
      <c r="D184" s="732"/>
      <c r="E184" s="732" t="s">
        <v>3161</v>
      </c>
      <c r="F184" s="733">
        <v>46258</v>
      </c>
      <c r="G184" s="733">
        <v>46307</v>
      </c>
      <c r="H184" s="733">
        <v>46307</v>
      </c>
      <c r="I184" s="734"/>
      <c r="J184" s="735">
        <f t="shared" si="24"/>
        <v>3000</v>
      </c>
      <c r="K184" s="735">
        <v>1</v>
      </c>
      <c r="L184" s="95"/>
      <c r="M184" s="95"/>
      <c r="N184" s="728"/>
      <c r="O184" s="728"/>
      <c r="P184" s="729">
        <v>3000</v>
      </c>
      <c r="Q184" s="183" t="s">
        <v>3152</v>
      </c>
      <c r="R184" s="183" t="s">
        <v>2584</v>
      </c>
      <c r="S184" s="280">
        <v>46307</v>
      </c>
      <c r="T184" s="222"/>
      <c r="U184" s="97"/>
      <c r="V184" s="97"/>
      <c r="W184" s="224"/>
      <c r="X184" s="159" t="s">
        <v>3148</v>
      </c>
      <c r="Y184" s="3" t="s">
        <v>3154</v>
      </c>
    </row>
    <row r="185" s="3" customFormat="1" ht="25.5" customHeight="1" spans="1:25">
      <c r="A185" s="215">
        <f t="shared" si="25"/>
        <v>182</v>
      </c>
      <c r="B185" s="269" t="s">
        <v>3162</v>
      </c>
      <c r="C185" s="270" t="s">
        <v>1932</v>
      </c>
      <c r="D185" s="271"/>
      <c r="E185" s="271"/>
      <c r="F185" s="273">
        <v>46274</v>
      </c>
      <c r="G185" s="273"/>
      <c r="H185" s="273"/>
      <c r="I185" s="274"/>
      <c r="J185" s="276"/>
      <c r="K185" s="276">
        <v>1</v>
      </c>
      <c r="L185" s="95"/>
      <c r="M185" s="95"/>
      <c r="N185" s="728"/>
      <c r="O185" s="728"/>
      <c r="P185" s="729">
        <v>100</v>
      </c>
      <c r="Q185" s="183"/>
      <c r="R185" s="183" t="s">
        <v>2584</v>
      </c>
      <c r="S185" s="280"/>
      <c r="T185" s="222"/>
      <c r="U185" s="97"/>
      <c r="V185" s="97"/>
      <c r="W185" s="224" t="s">
        <v>3163</v>
      </c>
      <c r="X185" s="159" t="s">
        <v>3148</v>
      </c>
    </row>
    <row r="186" s="3" customFormat="1" ht="25.5" customHeight="1" spans="1:25">
      <c r="A186" s="215">
        <f t="shared" si="25"/>
        <v>183</v>
      </c>
      <c r="B186" s="269" t="s">
        <v>3162</v>
      </c>
      <c r="C186" s="270" t="s">
        <v>1932</v>
      </c>
      <c r="D186" s="271"/>
      <c r="E186" s="271"/>
      <c r="F186" s="273">
        <v>46274</v>
      </c>
      <c r="G186" s="273"/>
      <c r="H186" s="273"/>
      <c r="I186" s="274"/>
      <c r="J186" s="276"/>
      <c r="K186" s="276">
        <v>1</v>
      </c>
      <c r="L186" s="95"/>
      <c r="M186" s="95"/>
      <c r="N186" s="728"/>
      <c r="O186" s="728"/>
      <c r="P186" s="729">
        <v>112</v>
      </c>
      <c r="Q186" s="183"/>
      <c r="R186" s="183" t="s">
        <v>2584</v>
      </c>
      <c r="S186" s="280"/>
      <c r="T186" s="222"/>
      <c r="U186" s="97"/>
      <c r="V186" s="97"/>
      <c r="W186" s="224" t="s">
        <v>3164</v>
      </c>
      <c r="X186" s="159" t="s">
        <v>3148</v>
      </c>
    </row>
    <row r="187" s="3" customFormat="1" ht="25.5" customHeight="1" spans="1:25">
      <c r="A187" s="215">
        <f t="shared" si="25"/>
        <v>184</v>
      </c>
      <c r="B187" s="269" t="s">
        <v>3162</v>
      </c>
      <c r="C187" s="270" t="s">
        <v>1932</v>
      </c>
      <c r="D187" s="271"/>
      <c r="E187" s="271"/>
      <c r="F187" s="273">
        <v>46275</v>
      </c>
      <c r="G187" s="273"/>
      <c r="H187" s="273"/>
      <c r="I187" s="274"/>
      <c r="J187" s="276"/>
      <c r="K187" s="276">
        <v>1</v>
      </c>
      <c r="L187" s="95"/>
      <c r="M187" s="95"/>
      <c r="N187" s="728"/>
      <c r="O187" s="728"/>
      <c r="P187" s="729">
        <v>500</v>
      </c>
      <c r="Q187" s="183"/>
      <c r="R187" s="183" t="s">
        <v>2584</v>
      </c>
      <c r="S187" s="280"/>
      <c r="T187" s="222"/>
      <c r="U187" s="97"/>
      <c r="V187" s="97"/>
      <c r="W187" s="224" t="s">
        <v>3165</v>
      </c>
      <c r="X187" s="159" t="s">
        <v>3148</v>
      </c>
    </row>
    <row r="188" s="3" customFormat="1" ht="27" customHeight="1" spans="1:25">
      <c r="A188" s="215">
        <f t="shared" si="25"/>
        <v>185</v>
      </c>
      <c r="B188" s="183"/>
      <c r="C188" s="96"/>
      <c r="D188" s="216"/>
      <c r="E188" s="216"/>
      <c r="F188" s="217"/>
      <c r="G188" s="217"/>
      <c r="H188" s="217"/>
      <c r="I188" s="218"/>
      <c r="J188" s="95"/>
      <c r="K188" s="95"/>
      <c r="L188" s="95"/>
      <c r="M188" s="96"/>
      <c r="N188" s="728"/>
      <c r="O188" s="728"/>
      <c r="P188" s="729"/>
      <c r="Q188" s="183"/>
      <c r="R188" s="183"/>
      <c r="S188" s="280"/>
      <c r="T188" s="222"/>
      <c r="U188" s="97"/>
      <c r="V188" s="97"/>
      <c r="W188" s="224"/>
    </row>
    <row r="189" s="3" customFormat="1" ht="17.1" customHeight="1" spans="1:25">
      <c r="A189" s="93" t="s">
        <v>66</v>
      </c>
      <c r="B189" s="94"/>
      <c r="C189" s="94"/>
      <c r="D189" s="94"/>
      <c r="E189" s="94"/>
      <c r="F189" s="94"/>
      <c r="G189" s="94"/>
      <c r="H189" s="94"/>
      <c r="I189" s="94"/>
      <c r="J189" s="95">
        <f>SUM(J4:J188)</f>
        <v>202850</v>
      </c>
      <c r="K189" s="95"/>
      <c r="L189" s="95">
        <f>SUM(L4:L188)</f>
        <v>76578</v>
      </c>
      <c r="M189" s="95">
        <f>SUM(M4:M188)</f>
        <v>133031</v>
      </c>
      <c r="N189" s="95">
        <f>SUM(N4:N188)</f>
        <v>4044</v>
      </c>
      <c r="O189" s="95">
        <f>SUM(O4:O188)</f>
        <v>18465</v>
      </c>
      <c r="P189" s="95">
        <f>SUM(P4:P188)</f>
        <v>5832</v>
      </c>
      <c r="Q189" s="96"/>
      <c r="R189" s="96"/>
      <c r="S189" s="97"/>
      <c r="T189" s="97"/>
      <c r="U189" s="97"/>
      <c r="V189" s="97"/>
      <c r="W189" s="239"/>
    </row>
    <row r="190" s="4" customFormat="1" ht="17.1" customHeight="1" spans="1:25">
      <c r="A190" s="99"/>
      <c r="B190" s="100"/>
      <c r="C190" s="100"/>
      <c r="D190" s="100"/>
      <c r="E190" s="100"/>
      <c r="F190" s="100"/>
      <c r="G190" s="100"/>
      <c r="H190" s="100"/>
      <c r="I190" s="100"/>
      <c r="J190" s="134">
        <f>SUM(L190:P190)</f>
        <v>238720</v>
      </c>
      <c r="K190" s="100"/>
      <c r="L190" s="736">
        <f>20000+2730+18944+15200+3804+300+15600</f>
        <v>76578</v>
      </c>
      <c r="M190" s="736">
        <f>21000+10000+23245+5825+35686+26190+8665+1100+1320</f>
        <v>133031</v>
      </c>
      <c r="N190" s="736">
        <f>800+760+680+900+604+300</f>
        <v>4044</v>
      </c>
      <c r="O190" s="736">
        <f>3719+13200+1596+1432</f>
        <v>19947</v>
      </c>
      <c r="P190" s="100">
        <f>1320+3800</f>
        <v>5120</v>
      </c>
      <c r="Q190" s="100"/>
      <c r="R190" s="100"/>
      <c r="S190" s="101"/>
      <c r="T190" s="101"/>
      <c r="U190" s="101"/>
      <c r="V190" s="101"/>
      <c r="W190" s="240"/>
    </row>
    <row r="191" s="4" customFormat="1" ht="17.1" customHeight="1" spans="1:25">
      <c r="A191" s="241" t="s">
        <v>67</v>
      </c>
      <c r="B191" s="242"/>
      <c r="C191" s="242"/>
      <c r="D191" s="242"/>
      <c r="E191" s="242"/>
      <c r="F191" s="242"/>
      <c r="G191" s="242"/>
      <c r="H191" s="242"/>
      <c r="I191" s="243"/>
      <c r="J191" s="244">
        <f>SUM(L191:P191)</f>
        <v>770</v>
      </c>
      <c r="K191" s="245"/>
      <c r="L191" s="106">
        <f t="shared" ref="L191:P191" si="26">L190-L189</f>
        <v>0</v>
      </c>
      <c r="M191" s="106">
        <f t="shared" si="26"/>
        <v>0</v>
      </c>
      <c r="N191" s="106">
        <f t="shared" si="26"/>
        <v>0</v>
      </c>
      <c r="O191" s="106">
        <f t="shared" si="26"/>
        <v>1482</v>
      </c>
      <c r="P191" s="106">
        <f t="shared" si="26"/>
        <v>-712</v>
      </c>
      <c r="Q191" s="107"/>
      <c r="R191" s="107"/>
      <c r="S191" s="108"/>
      <c r="T191" s="108"/>
      <c r="U191" s="108"/>
      <c r="V191" s="108"/>
      <c r="W191" s="246"/>
    </row>
    <row r="192" spans="1:25">
      <c r="B192" s="110" t="s">
        <v>68</v>
      </c>
      <c r="C192" s="110"/>
      <c r="D192" s="111"/>
      <c r="E192" s="111"/>
      <c r="F192" s="111"/>
      <c r="G192" s="111"/>
      <c r="H192" s="111" t="s">
        <v>377</v>
      </c>
      <c r="I192" s="111"/>
      <c r="J192" s="285"/>
    </row>
    <row r="193" spans="2:18">
      <c r="H193" t="s">
        <v>3166</v>
      </c>
      <c r="M193">
        <f>5000-1320</f>
        <v>3680</v>
      </c>
      <c r="P193">
        <f>4500-3800</f>
        <v>700</v>
      </c>
    </row>
    <row r="195" spans="2:18">
      <c r="B195" s="286"/>
    </row>
    <row r="196" spans="2:18">
      <c r="B196" s="286"/>
    </row>
    <row r="197" spans="2:18">
      <c r="B197" s="286"/>
    </row>
    <row r="198" spans="2:18">
      <c r="B198" s="286"/>
    </row>
    <row r="203" spans="2:18">
      <c r="P203" s="190"/>
      <c r="Q203" s="190"/>
      <c r="R203" s="193" t="s">
        <v>178</v>
      </c>
    </row>
    <row r="204" ht="22.5" spans="2:18">
      <c r="R204" s="737" t="s">
        <v>2583</v>
      </c>
    </row>
    <row r="205" ht="22.5" spans="2:18">
      <c r="R205" s="159" t="s">
        <v>2589</v>
      </c>
    </row>
    <row r="206" ht="22.5" spans="2:18">
      <c r="R206" s="159" t="s">
        <v>2599</v>
      </c>
    </row>
    <row r="207" ht="22.5" spans="2:18">
      <c r="R207" s="737" t="s">
        <v>2603</v>
      </c>
    </row>
    <row r="208" ht="22.5" spans="2:18">
      <c r="R208" s="159" t="s">
        <v>2607</v>
      </c>
    </row>
    <row r="209" ht="22.5" spans="18:19">
      <c r="R209" s="159" t="s">
        <v>3167</v>
      </c>
    </row>
    <row r="210" ht="22.5" spans="18:19">
      <c r="R210" s="737" t="s">
        <v>3168</v>
      </c>
    </row>
    <row r="211" ht="22.5" spans="18:19">
      <c r="R211" s="737" t="s">
        <v>3169</v>
      </c>
    </row>
    <row r="212" ht="22.5" spans="18:19">
      <c r="R212" s="159" t="s">
        <v>3170</v>
      </c>
    </row>
    <row r="213" ht="22.5" spans="18:19">
      <c r="R213" s="159" t="s">
        <v>3171</v>
      </c>
    </row>
    <row r="214" ht="22.5" spans="18:19">
      <c r="R214" s="737" t="s">
        <v>3172</v>
      </c>
    </row>
    <row r="215" ht="22.5" spans="18:19">
      <c r="R215" s="159" t="s">
        <v>3173</v>
      </c>
    </row>
    <row r="216" ht="33.75" spans="18:19">
      <c r="R216" s="738" t="s">
        <v>3174</v>
      </c>
      <c r="S216" s="114" t="s">
        <v>3175</v>
      </c>
    </row>
    <row r="217" ht="22.5" spans="18:19">
      <c r="R217" s="159" t="s">
        <v>3176</v>
      </c>
    </row>
    <row r="218" ht="33.75" spans="18:19">
      <c r="R218" s="738" t="s">
        <v>3177</v>
      </c>
    </row>
    <row r="219" ht="22.5" spans="18:19">
      <c r="R219" s="159" t="s">
        <v>3178</v>
      </c>
    </row>
  </sheetData>
  <autoFilter xmlns:etc="http://www.wps.cn/officeDocument/2017/etCustomData" ref="A3:Y193" etc:filterBottomFollowUsedRange="0">
    <filterColumn colId="21">
      <filters blank="1"/>
    </filterColumn>
    <extLst/>
  </autoFilter>
  <mergeCells count="25">
    <mergeCell ref="A1:R1"/>
    <mergeCell ref="S1:U1"/>
    <mergeCell ref="V1:W1"/>
    <mergeCell ref="L2:P2"/>
    <mergeCell ref="A189:I189"/>
    <mergeCell ref="A190:I190"/>
    <mergeCell ref="A191:I19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</mergeCells>
  <conditionalFormatting sqref="L191:P191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75" fitToHeight="0" orientation="landscape" horizontalDpi="1200" verticalDpi="1200"/>
  <headerFooter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C13"/>
  <sheetViews>
    <sheetView workbookViewId="0">
      <pane xSplit="4" ySplit="3" topLeftCell="E4" activePane="bottomRight" state="frozen"/>
      <selection/>
      <selection pane="topRight"/>
      <selection pane="bottomLeft"/>
      <selection pane="bottomRight" activeCell="U21" sqref="U21"/>
    </sheetView>
  </sheetViews>
  <sheetFormatPr defaultColWidth="9" defaultRowHeight="14.25"/>
  <cols>
    <col min="1" max="1" width="3.125" customWidth="1"/>
    <col min="2" max="2" width="9.5" customWidth="1"/>
    <col min="3" max="3" width="7.125" customWidth="1"/>
    <col min="4" max="5" width="12.125" customWidth="1"/>
    <col min="6" max="9" width="5.625" customWidth="1"/>
    <col min="10" max="10" width="9.625" style="447" customWidth="1"/>
    <col min="11" max="11" width="5.125" customWidth="1"/>
    <col min="12" max="16" width="7" customWidth="1"/>
    <col min="17" max="17" width="7.875" customWidth="1"/>
    <col min="18" max="20" width="5.375" customWidth="1"/>
    <col min="21" max="21" width="6.125" customWidth="1"/>
    <col min="22" max="22" width="7.625" customWidth="1"/>
    <col min="23" max="23" width="23" customWidth="1"/>
    <col min="24" max="24" width="8.375" customWidth="1"/>
    <col min="25" max="25" width="8.5" style="193" customWidth="1"/>
    <col min="26" max="26" width="6.375" style="193" customWidth="1"/>
    <col min="27" max="27" width="6.625" style="193" customWidth="1"/>
    <col min="28" max="28" width="19.125" customWidth="1"/>
    <col min="29" max="29" width="19" customWidth="1"/>
  </cols>
  <sheetData>
    <row r="1" ht="36.75" customHeight="1" spans="1:29">
      <c r="A1" s="195" t="s">
        <v>3179</v>
      </c>
      <c r="B1" s="196"/>
      <c r="C1" s="196"/>
      <c r="D1" s="196"/>
      <c r="E1" s="196"/>
      <c r="F1" s="196"/>
      <c r="G1" s="196"/>
      <c r="H1" s="196"/>
      <c r="I1" s="196"/>
      <c r="J1" s="699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7" t="s">
        <v>1</v>
      </c>
      <c r="Y1" s="198"/>
      <c r="Z1" s="199"/>
      <c r="AA1" s="200">
        <f ca="1">TODAY()</f>
        <v>46277</v>
      </c>
      <c r="AB1" s="201"/>
    </row>
    <row r="2" s="190" customFormat="1" ht="21.95" customHeight="1" spans="1:29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334" t="s">
        <v>11</v>
      </c>
      <c r="K2" s="15" t="s">
        <v>12</v>
      </c>
      <c r="L2" s="187" t="s">
        <v>13</v>
      </c>
      <c r="M2" s="188"/>
      <c r="N2" s="188"/>
      <c r="O2" s="188"/>
      <c r="P2" s="188"/>
      <c r="Q2" s="19" t="s">
        <v>14</v>
      </c>
      <c r="R2" s="21" t="s">
        <v>15</v>
      </c>
      <c r="S2" s="22" t="s">
        <v>16</v>
      </c>
      <c r="T2" s="22" t="s">
        <v>178</v>
      </c>
      <c r="U2" s="21" t="s">
        <v>19</v>
      </c>
      <c r="V2" s="22" t="s">
        <v>20</v>
      </c>
      <c r="W2" s="24" t="s">
        <v>21</v>
      </c>
      <c r="X2" s="19" t="s">
        <v>22</v>
      </c>
      <c r="Y2" s="204" t="s">
        <v>23</v>
      </c>
      <c r="Z2" s="204" t="s">
        <v>24</v>
      </c>
      <c r="AA2" s="204" t="s">
        <v>25</v>
      </c>
      <c r="AB2" s="27" t="s">
        <v>26</v>
      </c>
    </row>
    <row r="3" s="190" customFormat="1" ht="35.25" customHeight="1" spans="1:29">
      <c r="A3" s="14"/>
      <c r="B3" s="15"/>
      <c r="C3" s="15"/>
      <c r="D3" s="15"/>
      <c r="E3" s="29"/>
      <c r="F3" s="15"/>
      <c r="G3" s="15"/>
      <c r="H3" s="15"/>
      <c r="I3" s="15"/>
      <c r="J3" s="334"/>
      <c r="K3" s="15"/>
      <c r="L3" s="264" t="s">
        <v>3180</v>
      </c>
      <c r="M3" s="264" t="s">
        <v>3181</v>
      </c>
      <c r="N3" s="264" t="s">
        <v>3182</v>
      </c>
      <c r="O3" s="264" t="s">
        <v>3183</v>
      </c>
      <c r="P3" s="264" t="s">
        <v>3184</v>
      </c>
      <c r="Q3" s="19"/>
      <c r="R3" s="21"/>
      <c r="S3" s="32"/>
      <c r="T3" s="32"/>
      <c r="U3" s="21"/>
      <c r="V3" s="32"/>
      <c r="W3" s="24"/>
      <c r="X3" s="19"/>
      <c r="Y3" s="204"/>
      <c r="Z3" s="204"/>
      <c r="AA3" s="204"/>
      <c r="AB3" s="27"/>
      <c r="AC3" s="190" t="s">
        <v>65</v>
      </c>
    </row>
    <row r="4" s="3" customFormat="1" ht="21.75" hidden="1" customHeight="1" spans="1:29">
      <c r="A4" s="208">
        <f>ROW()-3</f>
        <v>1</v>
      </c>
      <c r="B4" s="48" t="s">
        <v>3185</v>
      </c>
      <c r="C4" s="49" t="s">
        <v>3186</v>
      </c>
      <c r="D4" s="50" t="s">
        <v>3187</v>
      </c>
      <c r="E4" s="50" t="s">
        <v>3188</v>
      </c>
      <c r="F4" s="52">
        <v>45981</v>
      </c>
      <c r="G4" s="52">
        <v>46093</v>
      </c>
      <c r="H4" s="52">
        <v>46093</v>
      </c>
      <c r="I4" s="53">
        <v>46021</v>
      </c>
      <c r="J4" s="477">
        <v>124020</v>
      </c>
      <c r="K4" s="175">
        <v>45</v>
      </c>
      <c r="L4" s="175">
        <f t="shared" ref="L4:P7" si="0">$J4/$K4*9</f>
        <v>24804</v>
      </c>
      <c r="M4" s="175">
        <f t="shared" si="0"/>
        <v>24804</v>
      </c>
      <c r="N4" s="175">
        <f t="shared" si="0"/>
        <v>24804</v>
      </c>
      <c r="O4" s="175">
        <f t="shared" si="0"/>
        <v>24804</v>
      </c>
      <c r="P4" s="175">
        <f t="shared" si="0"/>
        <v>24804</v>
      </c>
      <c r="Q4" s="48" t="s">
        <v>719</v>
      </c>
      <c r="R4" s="49" t="s">
        <v>81</v>
      </c>
      <c r="S4" s="48" t="s">
        <v>921</v>
      </c>
      <c r="T4" s="700" t="s">
        <v>919</v>
      </c>
      <c r="U4" s="48" t="s">
        <v>3189</v>
      </c>
      <c r="V4" s="48" t="s">
        <v>719</v>
      </c>
      <c r="W4" s="48" t="s">
        <v>3190</v>
      </c>
      <c r="X4" s="212">
        <v>46091</v>
      </c>
      <c r="Y4" s="211">
        <v>46091</v>
      </c>
      <c r="Z4" s="308"/>
      <c r="AA4" s="176">
        <v>46098</v>
      </c>
      <c r="AB4" s="177" t="s">
        <v>3191</v>
      </c>
      <c r="AC4" s="480" t="s">
        <v>3192</v>
      </c>
    </row>
    <row r="5" s="3" customFormat="1" ht="25.5" hidden="1" customHeight="1" spans="1:29">
      <c r="A5" s="208">
        <f>ROW()-3</f>
        <v>2</v>
      </c>
      <c r="B5" s="48" t="s">
        <v>3185</v>
      </c>
      <c r="C5" s="49" t="s">
        <v>3186</v>
      </c>
      <c r="D5" s="50" t="s">
        <v>3193</v>
      </c>
      <c r="E5" s="50" t="s">
        <v>3194</v>
      </c>
      <c r="F5" s="52">
        <v>45981</v>
      </c>
      <c r="G5" s="52">
        <v>46102</v>
      </c>
      <c r="H5" s="52">
        <v>46102</v>
      </c>
      <c r="I5" s="53">
        <v>46021</v>
      </c>
      <c r="J5" s="477">
        <v>81900</v>
      </c>
      <c r="K5" s="175">
        <v>45</v>
      </c>
      <c r="L5" s="175">
        <f t="shared" si="0"/>
        <v>16380</v>
      </c>
      <c r="M5" s="175">
        <f t="shared" si="0"/>
        <v>16380</v>
      </c>
      <c r="N5" s="175">
        <f t="shared" si="0"/>
        <v>16380</v>
      </c>
      <c r="O5" s="175">
        <f t="shared" si="0"/>
        <v>16380</v>
      </c>
      <c r="P5" s="175">
        <f t="shared" si="0"/>
        <v>16380</v>
      </c>
      <c r="Q5" s="48" t="s">
        <v>719</v>
      </c>
      <c r="R5" s="49" t="s">
        <v>81</v>
      </c>
      <c r="S5" s="48" t="s">
        <v>921</v>
      </c>
      <c r="T5" s="700" t="s">
        <v>919</v>
      </c>
      <c r="U5" s="48" t="s">
        <v>3189</v>
      </c>
      <c r="V5" s="48" t="s">
        <v>719</v>
      </c>
      <c r="W5" s="48" t="s">
        <v>3190</v>
      </c>
      <c r="X5" s="212">
        <v>46100</v>
      </c>
      <c r="Y5" s="211">
        <v>46099</v>
      </c>
      <c r="Z5" s="211"/>
      <c r="AA5" s="176">
        <v>46105</v>
      </c>
      <c r="AB5" s="177" t="s">
        <v>3195</v>
      </c>
      <c r="AC5" s="480" t="s">
        <v>3192</v>
      </c>
    </row>
    <row r="6" s="3" customFormat="1" ht="31.5" hidden="1" customHeight="1" spans="1:29">
      <c r="A6" s="208">
        <f>ROW()-3</f>
        <v>3</v>
      </c>
      <c r="B6" s="48" t="s">
        <v>3185</v>
      </c>
      <c r="C6" s="49" t="s">
        <v>3186</v>
      </c>
      <c r="D6" s="50" t="s">
        <v>3196</v>
      </c>
      <c r="E6" s="50" t="s">
        <v>3197</v>
      </c>
      <c r="F6" s="52">
        <v>45981</v>
      </c>
      <c r="G6" s="52">
        <v>46104</v>
      </c>
      <c r="H6" s="52">
        <v>46104</v>
      </c>
      <c r="I6" s="53">
        <v>46021</v>
      </c>
      <c r="J6" s="477">
        <v>186570</v>
      </c>
      <c r="K6" s="175">
        <v>45</v>
      </c>
      <c r="L6" s="175">
        <f t="shared" si="0"/>
        <v>37314</v>
      </c>
      <c r="M6" s="175">
        <f t="shared" si="0"/>
        <v>37314</v>
      </c>
      <c r="N6" s="175">
        <f t="shared" si="0"/>
        <v>37314</v>
      </c>
      <c r="O6" s="175">
        <f t="shared" si="0"/>
        <v>37314</v>
      </c>
      <c r="P6" s="175">
        <f t="shared" si="0"/>
        <v>37314</v>
      </c>
      <c r="Q6" s="48" t="s">
        <v>719</v>
      </c>
      <c r="R6" s="49" t="s">
        <v>81</v>
      </c>
      <c r="S6" s="48" t="s">
        <v>921</v>
      </c>
      <c r="T6" s="700" t="s">
        <v>919</v>
      </c>
      <c r="U6" s="48" t="s">
        <v>3189</v>
      </c>
      <c r="V6" s="48" t="s">
        <v>719</v>
      </c>
      <c r="W6" s="48" t="s">
        <v>3190</v>
      </c>
      <c r="X6" s="212">
        <v>46102</v>
      </c>
      <c r="Y6" s="211">
        <v>46099</v>
      </c>
      <c r="Z6" s="211"/>
      <c r="AA6" s="176">
        <v>46112</v>
      </c>
      <c r="AB6" s="177" t="s">
        <v>3198</v>
      </c>
      <c r="AC6" s="480" t="s">
        <v>3192</v>
      </c>
    </row>
    <row r="7" s="3" customFormat="1" ht="35.25" hidden="1" customHeight="1" spans="1:29">
      <c r="A7" s="208">
        <f>ROW()-3</f>
        <v>4</v>
      </c>
      <c r="B7" s="48" t="s">
        <v>3185</v>
      </c>
      <c r="C7" s="49" t="s">
        <v>3186</v>
      </c>
      <c r="D7" s="50" t="s">
        <v>3199</v>
      </c>
      <c r="E7" s="50" t="s">
        <v>3200</v>
      </c>
      <c r="F7" s="52">
        <v>45981</v>
      </c>
      <c r="G7" s="52">
        <v>46118</v>
      </c>
      <c r="H7" s="52">
        <v>46118</v>
      </c>
      <c r="I7" s="53">
        <v>46021</v>
      </c>
      <c r="J7" s="477">
        <v>123255</v>
      </c>
      <c r="K7" s="175">
        <v>45</v>
      </c>
      <c r="L7" s="175">
        <f t="shared" si="0"/>
        <v>24651</v>
      </c>
      <c r="M7" s="175">
        <f t="shared" si="0"/>
        <v>24651</v>
      </c>
      <c r="N7" s="175">
        <f t="shared" si="0"/>
        <v>24651</v>
      </c>
      <c r="O7" s="175">
        <f t="shared" si="0"/>
        <v>24651</v>
      </c>
      <c r="P7" s="175">
        <f t="shared" si="0"/>
        <v>24651</v>
      </c>
      <c r="Q7" s="48" t="s">
        <v>719</v>
      </c>
      <c r="R7" s="49" t="s">
        <v>81</v>
      </c>
      <c r="S7" s="48" t="s">
        <v>921</v>
      </c>
      <c r="T7" s="700" t="s">
        <v>919</v>
      </c>
      <c r="U7" s="48" t="s">
        <v>3189</v>
      </c>
      <c r="V7" s="48" t="s">
        <v>719</v>
      </c>
      <c r="W7" s="48" t="s">
        <v>3190</v>
      </c>
      <c r="X7" s="212">
        <v>46116</v>
      </c>
      <c r="Y7" s="211">
        <v>46114</v>
      </c>
      <c r="Z7" s="211"/>
      <c r="AA7" s="176">
        <v>46123</v>
      </c>
      <c r="AB7" s="177" t="s">
        <v>3201</v>
      </c>
      <c r="AC7" s="480" t="s">
        <v>3192</v>
      </c>
    </row>
    <row r="8" s="3" customFormat="1" ht="35.25" customHeight="1" spans="1:29">
      <c r="A8" s="215"/>
      <c r="B8" s="183"/>
      <c r="C8" s="96"/>
      <c r="D8" s="216"/>
      <c r="E8" s="216"/>
      <c r="F8" s="217"/>
      <c r="G8" s="217"/>
      <c r="H8" s="217"/>
      <c r="I8" s="218"/>
      <c r="J8" s="360"/>
      <c r="K8" s="95"/>
      <c r="L8" s="277"/>
      <c r="M8" s="277"/>
      <c r="N8" s="277"/>
      <c r="O8" s="277"/>
      <c r="P8" s="277"/>
      <c r="Q8" s="492"/>
      <c r="R8" s="96"/>
      <c r="S8" s="96"/>
      <c r="T8" s="96"/>
      <c r="U8" s="96"/>
      <c r="V8" s="183"/>
      <c r="W8" s="183"/>
      <c r="X8" s="493"/>
      <c r="Y8" s="222"/>
      <c r="Z8" s="222"/>
      <c r="AA8" s="97"/>
      <c r="AB8" s="178"/>
    </row>
    <row r="9" s="3" customFormat="1" ht="27" customHeight="1" spans="1:29">
      <c r="A9" s="215"/>
      <c r="B9" s="183"/>
      <c r="C9" s="96"/>
      <c r="D9" s="216"/>
      <c r="E9" s="216"/>
      <c r="F9" s="217"/>
      <c r="G9" s="217"/>
      <c r="H9" s="217"/>
      <c r="I9" s="218"/>
      <c r="J9" s="360"/>
      <c r="K9" s="95"/>
      <c r="L9" s="277"/>
      <c r="M9" s="277"/>
      <c r="N9" s="277"/>
      <c r="O9" s="277"/>
      <c r="P9" s="277"/>
      <c r="Q9" s="219"/>
      <c r="R9" s="96"/>
      <c r="S9" s="96"/>
      <c r="T9" s="96"/>
      <c r="U9" s="183"/>
      <c r="V9" s="183"/>
      <c r="W9" s="183"/>
      <c r="X9" s="97"/>
      <c r="Y9" s="222"/>
      <c r="Z9" s="97"/>
      <c r="AA9" s="97"/>
      <c r="AB9" s="178"/>
    </row>
    <row r="10" s="3" customFormat="1" ht="17.1" customHeight="1" spans="1:29">
      <c r="A10" s="93" t="s">
        <v>66</v>
      </c>
      <c r="B10" s="94"/>
      <c r="C10" s="94"/>
      <c r="D10" s="94"/>
      <c r="E10" s="94"/>
      <c r="F10" s="94"/>
      <c r="G10" s="94"/>
      <c r="H10" s="94"/>
      <c r="I10" s="94"/>
      <c r="J10" s="360">
        <f>SUM(J4:J9)</f>
        <v>515745</v>
      </c>
      <c r="K10" s="95"/>
      <c r="L10" s="95">
        <f>SUM(L4:L9)</f>
        <v>103149</v>
      </c>
      <c r="M10" s="95">
        <f>SUM(M4:M9)</f>
        <v>103149</v>
      </c>
      <c r="N10" s="95">
        <f>SUM(N4:N9)</f>
        <v>103149</v>
      </c>
      <c r="O10" s="95">
        <f>SUM(O4:O9)</f>
        <v>103149</v>
      </c>
      <c r="P10" s="95">
        <f>SUM(P4:P9)</f>
        <v>103149</v>
      </c>
      <c r="Q10" s="95"/>
      <c r="R10" s="96"/>
      <c r="S10" s="96"/>
      <c r="T10" s="96"/>
      <c r="U10" s="96"/>
      <c r="V10" s="96"/>
      <c r="W10" s="96"/>
      <c r="X10" s="97"/>
      <c r="Y10" s="97"/>
      <c r="Z10" s="97"/>
      <c r="AA10" s="97"/>
      <c r="AB10" s="98"/>
    </row>
    <row r="11" s="4" customFormat="1" ht="17.1" customHeight="1" spans="1:29">
      <c r="A11" s="99"/>
      <c r="B11" s="100"/>
      <c r="C11" s="100"/>
      <c r="D11" s="100"/>
      <c r="E11" s="100"/>
      <c r="F11" s="100"/>
      <c r="G11" s="100"/>
      <c r="H11" s="100"/>
      <c r="I11" s="100"/>
      <c r="J11" s="696">
        <f>SUBTOTAL(9,L11:P11)</f>
        <v>515745</v>
      </c>
      <c r="K11" s="100"/>
      <c r="L11" s="147">
        <f>103149</f>
        <v>103149</v>
      </c>
      <c r="M11" s="147">
        <f>103149</f>
        <v>103149</v>
      </c>
      <c r="N11" s="147">
        <f>103149</f>
        <v>103149</v>
      </c>
      <c r="O11" s="147">
        <f>103149</f>
        <v>103149</v>
      </c>
      <c r="P11" s="147">
        <f>103149</f>
        <v>103149</v>
      </c>
      <c r="Q11" s="147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2"/>
    </row>
    <row r="12" s="4" customFormat="1" ht="19.5" customHeight="1" spans="1:29">
      <c r="A12" s="241" t="s">
        <v>67</v>
      </c>
      <c r="B12" s="242"/>
      <c r="C12" s="242"/>
      <c r="D12" s="242"/>
      <c r="E12" s="242"/>
      <c r="F12" s="242"/>
      <c r="G12" s="242"/>
      <c r="H12" s="242"/>
      <c r="I12" s="243"/>
      <c r="J12" s="701">
        <f>J11-J10</f>
        <v>0</v>
      </c>
      <c r="K12" s="245"/>
      <c r="L12" s="106">
        <f>L11-L10</f>
        <v>0</v>
      </c>
      <c r="M12" s="106">
        <f>M11-M10</f>
        <v>0</v>
      </c>
      <c r="N12" s="106">
        <f>N11-N10</f>
        <v>0</v>
      </c>
      <c r="O12" s="106">
        <f>O11-O10</f>
        <v>0</v>
      </c>
      <c r="P12" s="106">
        <f>P11-P10</f>
        <v>0</v>
      </c>
      <c r="Q12" s="106"/>
      <c r="R12" s="106"/>
      <c r="S12" s="106"/>
      <c r="T12" s="106"/>
      <c r="U12" s="106"/>
      <c r="V12" s="106"/>
      <c r="W12" s="106"/>
      <c r="X12" s="107"/>
      <c r="Y12" s="107"/>
      <c r="Z12" s="107"/>
      <c r="AA12" s="107"/>
      <c r="AB12" s="109"/>
    </row>
    <row r="13" ht="21" customHeight="1" spans="1:29">
      <c r="B13" s="110" t="s">
        <v>68</v>
      </c>
      <c r="C13" s="110"/>
      <c r="D13" s="111"/>
      <c r="E13" s="111"/>
      <c r="F13" s="111"/>
      <c r="G13" s="111"/>
      <c r="H13" s="698"/>
      <c r="I13" s="698"/>
      <c r="J13" s="372"/>
      <c r="L13" s="445"/>
      <c r="M13" s="445"/>
      <c r="N13" s="445"/>
      <c r="O13" s="445"/>
      <c r="P13" s="445"/>
    </row>
  </sheetData>
  <autoFilter xmlns:etc="http://www.wps.cn/officeDocument/2017/etCustomData" ref="A2:AC7" etc:filterBottomFollowUsedRange="0">
    <filterColumn colId="26">
      <filters blank="1"/>
    </filterColumn>
    <extLst/>
  </autoFilter>
  <mergeCells count="31">
    <mergeCell ref="A1:W1"/>
    <mergeCell ref="X1:Z1"/>
    <mergeCell ref="AA1:AB1"/>
    <mergeCell ref="L2:P2"/>
    <mergeCell ref="A10:I10"/>
    <mergeCell ref="A11:I11"/>
    <mergeCell ref="A12:I12"/>
    <mergeCell ref="H13:I1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</mergeCells>
  <conditionalFormatting sqref="L12:W12">
    <cfRule type="cellIs" dxfId="0" priority="1" operator="lessThan">
      <formula>0</formula>
    </cfRule>
  </conditionalFormatting>
  <printOptions horizontalCentered="1"/>
  <pageMargins left="0.31496062992126" right="0.31496062992126" top="0.354330708661417" bottom="0.354330708661417" header="0.31496062992126" footer="0.31496062992126"/>
  <pageSetup paperSize="9" scale="58" orientation="landscape"/>
  <headerFooter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  <pageSetUpPr fitToPage="1"/>
  </sheetPr>
  <dimension ref="A1:AD23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M27" sqref="M27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2.125" customWidth="1"/>
    <col min="6" max="9" width="5.625" customWidth="1"/>
    <col min="10" max="10" width="9.625" style="447" customWidth="1"/>
    <col min="11" max="11" width="5.125" customWidth="1"/>
    <col min="12" max="14" width="7" customWidth="1"/>
    <col min="15" max="15" width="8.625" customWidth="1"/>
    <col min="16" max="16" width="7" customWidth="1"/>
    <col min="17" max="17" width="7.875" customWidth="1"/>
    <col min="18" max="20" width="5.375" customWidth="1"/>
    <col min="21" max="21" width="6.125" customWidth="1"/>
    <col min="22" max="22" width="9.125" customWidth="1"/>
    <col min="23" max="23" width="23" customWidth="1"/>
    <col min="24" max="24" width="8.375" customWidth="1"/>
    <col min="25" max="25" width="8.625" style="193" customWidth="1"/>
    <col min="26" max="26" width="6.375" style="193" customWidth="1"/>
    <col min="27" max="27" width="7.625" style="193" customWidth="1"/>
    <col min="28" max="28" width="19.125" customWidth="1"/>
    <col min="29" max="29" width="19" customWidth="1"/>
  </cols>
  <sheetData>
    <row r="1" ht="36.75" customHeight="1" spans="1:30">
      <c r="A1" s="298" t="s">
        <v>3202</v>
      </c>
      <c r="B1" s="299"/>
      <c r="C1" s="299"/>
      <c r="D1" s="299"/>
      <c r="E1" s="299"/>
      <c r="F1" s="299"/>
      <c r="G1" s="299"/>
      <c r="H1" s="299"/>
      <c r="I1" s="299"/>
      <c r="J1" s="687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197" t="s">
        <v>1</v>
      </c>
      <c r="Y1" s="198"/>
      <c r="Z1" s="199"/>
      <c r="AA1" s="200">
        <f ca="1">TODAY()</f>
        <v>46277</v>
      </c>
      <c r="AB1" s="201"/>
    </row>
    <row r="2" s="190" customFormat="1" ht="21.95" customHeight="1" spans="1:30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334" t="s">
        <v>11</v>
      </c>
      <c r="K2" s="15" t="s">
        <v>12</v>
      </c>
      <c r="L2" s="187" t="s">
        <v>13</v>
      </c>
      <c r="M2" s="188"/>
      <c r="N2" s="188"/>
      <c r="O2" s="188"/>
      <c r="P2" s="188"/>
      <c r="Q2" s="19" t="s">
        <v>14</v>
      </c>
      <c r="R2" s="21" t="s">
        <v>15</v>
      </c>
      <c r="S2" s="21" t="s">
        <v>3203</v>
      </c>
      <c r="T2" s="22" t="s">
        <v>18</v>
      </c>
      <c r="U2" s="21" t="s">
        <v>19</v>
      </c>
      <c r="V2" s="22" t="s">
        <v>20</v>
      </c>
      <c r="W2" s="24" t="s">
        <v>21</v>
      </c>
      <c r="X2" s="19" t="s">
        <v>22</v>
      </c>
      <c r="Y2" s="204" t="s">
        <v>23</v>
      </c>
      <c r="Z2" s="204" t="s">
        <v>24</v>
      </c>
      <c r="AA2" s="204" t="s">
        <v>25</v>
      </c>
      <c r="AB2" s="27" t="s">
        <v>26</v>
      </c>
    </row>
    <row r="3" s="190" customFormat="1" ht="30" customHeight="1" spans="1:30">
      <c r="A3" s="14"/>
      <c r="B3" s="15"/>
      <c r="C3" s="15"/>
      <c r="D3" s="15"/>
      <c r="E3" s="29"/>
      <c r="F3" s="15"/>
      <c r="G3" s="15"/>
      <c r="H3" s="15"/>
      <c r="I3" s="15"/>
      <c r="J3" s="334"/>
      <c r="K3" s="15"/>
      <c r="L3" s="264" t="s">
        <v>32</v>
      </c>
      <c r="M3" s="264" t="s">
        <v>36</v>
      </c>
      <c r="N3" s="264" t="s">
        <v>1854</v>
      </c>
      <c r="O3" s="264" t="s">
        <v>35</v>
      </c>
      <c r="P3" s="264" t="s">
        <v>31</v>
      </c>
      <c r="Q3" s="19"/>
      <c r="R3" s="21"/>
      <c r="S3" s="21"/>
      <c r="T3" s="32"/>
      <c r="U3" s="21"/>
      <c r="V3" s="32"/>
      <c r="W3" s="24"/>
      <c r="X3" s="19"/>
      <c r="Y3" s="204"/>
      <c r="Z3" s="204"/>
      <c r="AA3" s="204"/>
      <c r="AB3" s="27"/>
      <c r="AC3" s="190" t="s">
        <v>65</v>
      </c>
      <c r="AD3" s="190" t="s">
        <v>382</v>
      </c>
    </row>
    <row r="4" s="3" customFormat="1" ht="35.25" hidden="1" customHeight="1" spans="1:30">
      <c r="A4" s="208">
        <f>ROW()-3</f>
        <v>1</v>
      </c>
      <c r="B4" s="48" t="s">
        <v>3204</v>
      </c>
      <c r="C4" s="49" t="s">
        <v>101</v>
      </c>
      <c r="D4" s="50" t="s">
        <v>3205</v>
      </c>
      <c r="E4" s="50"/>
      <c r="F4" s="52">
        <v>45987</v>
      </c>
      <c r="G4" s="52">
        <v>46037</v>
      </c>
      <c r="H4" s="52">
        <v>46037</v>
      </c>
      <c r="I4" s="53">
        <v>45999</v>
      </c>
      <c r="J4" s="477">
        <v>36000</v>
      </c>
      <c r="K4" s="175">
        <v>12</v>
      </c>
      <c r="L4" s="175">
        <f>$J4/$K4*3</f>
        <v>9000</v>
      </c>
      <c r="M4" s="175">
        <f>$J4/$K4*3</f>
        <v>9000</v>
      </c>
      <c r="N4" s="175"/>
      <c r="O4" s="175">
        <f>$J4/$K4*3</f>
        <v>9000</v>
      </c>
      <c r="P4" s="175">
        <f>$J4/$K4*3</f>
        <v>9000</v>
      </c>
      <c r="Q4" s="48" t="s">
        <v>672</v>
      </c>
      <c r="R4" s="49" t="s">
        <v>81</v>
      </c>
      <c r="S4" s="48" t="s">
        <v>3206</v>
      </c>
      <c r="T4" s="48"/>
      <c r="U4" s="48" t="s">
        <v>673</v>
      </c>
      <c r="V4" s="48" t="s">
        <v>672</v>
      </c>
      <c r="W4" s="48" t="s">
        <v>3207</v>
      </c>
      <c r="X4" s="212">
        <v>46035</v>
      </c>
      <c r="Y4" s="308">
        <v>46037</v>
      </c>
      <c r="Z4" s="308"/>
      <c r="AA4" s="176">
        <v>46039</v>
      </c>
      <c r="AB4" s="177" t="s">
        <v>3208</v>
      </c>
      <c r="AC4" s="480" t="s">
        <v>3209</v>
      </c>
    </row>
    <row r="5" s="3" customFormat="1" ht="35.25" hidden="1" customHeight="1" spans="1:30">
      <c r="A5" s="208">
        <f t="shared" ref="A5:A19" si="0">ROW()-3</f>
        <v>2</v>
      </c>
      <c r="B5" s="48" t="s">
        <v>3210</v>
      </c>
      <c r="C5" s="49" t="s">
        <v>135</v>
      </c>
      <c r="D5" s="50" t="s">
        <v>3211</v>
      </c>
      <c r="E5" s="50" t="s">
        <v>3212</v>
      </c>
      <c r="F5" s="52">
        <v>45986</v>
      </c>
      <c r="G5" s="52">
        <v>46057</v>
      </c>
      <c r="H5" s="52">
        <v>46057</v>
      </c>
      <c r="I5" s="53">
        <v>46035</v>
      </c>
      <c r="J5" s="477">
        <v>7164</v>
      </c>
      <c r="K5" s="175">
        <v>18</v>
      </c>
      <c r="L5" s="175">
        <f t="shared" ref="L5:L11" si="1">$J5/$K5*5</f>
        <v>1990</v>
      </c>
      <c r="M5" s="175">
        <f t="shared" ref="M5:M11" si="2">$J5/$K5*5</f>
        <v>1990</v>
      </c>
      <c r="N5" s="175"/>
      <c r="O5" s="175">
        <f t="shared" ref="O5:O11" si="3">$J5/$K5*4</f>
        <v>1592</v>
      </c>
      <c r="P5" s="175">
        <f t="shared" ref="P5:P11" si="4">$J5/$K5*4</f>
        <v>1592</v>
      </c>
      <c r="Q5" s="48" t="s">
        <v>672</v>
      </c>
      <c r="R5" s="49" t="s">
        <v>81</v>
      </c>
      <c r="S5" s="48" t="s">
        <v>3206</v>
      </c>
      <c r="T5" s="48"/>
      <c r="U5" s="48" t="s">
        <v>3213</v>
      </c>
      <c r="V5" s="48" t="s">
        <v>672</v>
      </c>
      <c r="W5" s="48" t="s">
        <v>2104</v>
      </c>
      <c r="X5" s="176">
        <v>46050</v>
      </c>
      <c r="Y5" s="211">
        <v>46050</v>
      </c>
      <c r="Z5" s="308"/>
      <c r="AA5" s="176">
        <v>46095</v>
      </c>
      <c r="AB5" s="177">
        <v>40945147</v>
      </c>
      <c r="AC5" s="480" t="s">
        <v>3214</v>
      </c>
    </row>
    <row r="6" s="3" customFormat="1" ht="35.25" hidden="1" customHeight="1" spans="1:30">
      <c r="A6" s="208">
        <f t="shared" si="0"/>
        <v>3</v>
      </c>
      <c r="B6" s="48" t="s">
        <v>3210</v>
      </c>
      <c r="C6" s="49" t="s">
        <v>135</v>
      </c>
      <c r="D6" s="50" t="s">
        <v>3215</v>
      </c>
      <c r="E6" s="50" t="s">
        <v>3212</v>
      </c>
      <c r="F6" s="52">
        <v>45986</v>
      </c>
      <c r="G6" s="52">
        <v>46057</v>
      </c>
      <c r="H6" s="52">
        <v>46057</v>
      </c>
      <c r="I6" s="53">
        <v>46035</v>
      </c>
      <c r="J6" s="477">
        <v>13536</v>
      </c>
      <c r="K6" s="175">
        <v>18</v>
      </c>
      <c r="L6" s="175">
        <f t="shared" si="1"/>
        <v>3760</v>
      </c>
      <c r="M6" s="175">
        <f t="shared" si="2"/>
        <v>3760</v>
      </c>
      <c r="N6" s="175"/>
      <c r="O6" s="175">
        <f t="shared" si="3"/>
        <v>3008</v>
      </c>
      <c r="P6" s="175">
        <f t="shared" si="4"/>
        <v>3008</v>
      </c>
      <c r="Q6" s="48" t="s">
        <v>672</v>
      </c>
      <c r="R6" s="49" t="s">
        <v>81</v>
      </c>
      <c r="S6" s="48" t="s">
        <v>3206</v>
      </c>
      <c r="T6" s="48"/>
      <c r="U6" s="48" t="s">
        <v>3213</v>
      </c>
      <c r="V6" s="48" t="s">
        <v>672</v>
      </c>
      <c r="W6" s="48" t="s">
        <v>2104</v>
      </c>
      <c r="X6" s="176">
        <v>46050</v>
      </c>
      <c r="Y6" s="211">
        <v>46050</v>
      </c>
      <c r="Z6" s="308"/>
      <c r="AA6" s="176">
        <v>46058</v>
      </c>
      <c r="AB6" s="177">
        <v>40945148</v>
      </c>
      <c r="AC6" s="480" t="s">
        <v>3214</v>
      </c>
    </row>
    <row r="7" s="3" customFormat="1" ht="35.25" hidden="1" customHeight="1" spans="1:30">
      <c r="A7" s="208">
        <f t="shared" si="0"/>
        <v>4</v>
      </c>
      <c r="B7" s="48" t="s">
        <v>3210</v>
      </c>
      <c r="C7" s="49" t="s">
        <v>135</v>
      </c>
      <c r="D7" s="50" t="s">
        <v>3216</v>
      </c>
      <c r="E7" s="50" t="s">
        <v>3212</v>
      </c>
      <c r="F7" s="52">
        <v>45986</v>
      </c>
      <c r="G7" s="52">
        <v>46057</v>
      </c>
      <c r="H7" s="52">
        <v>46057</v>
      </c>
      <c r="I7" s="53">
        <v>46035</v>
      </c>
      <c r="J7" s="477">
        <v>8748</v>
      </c>
      <c r="K7" s="175">
        <v>18</v>
      </c>
      <c r="L7" s="175">
        <f t="shared" si="1"/>
        <v>2430</v>
      </c>
      <c r="M7" s="175">
        <f t="shared" si="2"/>
        <v>2430</v>
      </c>
      <c r="N7" s="175"/>
      <c r="O7" s="175">
        <f t="shared" si="3"/>
        <v>1944</v>
      </c>
      <c r="P7" s="175">
        <f t="shared" si="4"/>
        <v>1944</v>
      </c>
      <c r="Q7" s="48" t="s">
        <v>672</v>
      </c>
      <c r="R7" s="49" t="s">
        <v>81</v>
      </c>
      <c r="S7" s="48" t="s">
        <v>3206</v>
      </c>
      <c r="T7" s="48"/>
      <c r="U7" s="48" t="s">
        <v>3213</v>
      </c>
      <c r="V7" s="48" t="s">
        <v>672</v>
      </c>
      <c r="W7" s="48" t="s">
        <v>2104</v>
      </c>
      <c r="X7" s="176">
        <v>46050</v>
      </c>
      <c r="Y7" s="211">
        <v>46050</v>
      </c>
      <c r="Z7" s="308"/>
      <c r="AA7" s="176">
        <v>46058</v>
      </c>
      <c r="AB7" s="177">
        <v>40945149</v>
      </c>
      <c r="AC7" s="480" t="s">
        <v>3214</v>
      </c>
    </row>
    <row r="8" s="3" customFormat="1" ht="35.25" hidden="1" customHeight="1" spans="1:30">
      <c r="A8" s="208">
        <f t="shared" si="0"/>
        <v>5</v>
      </c>
      <c r="B8" s="48" t="s">
        <v>3210</v>
      </c>
      <c r="C8" s="49" t="s">
        <v>135</v>
      </c>
      <c r="D8" s="50" t="s">
        <v>3217</v>
      </c>
      <c r="E8" s="50" t="s">
        <v>3212</v>
      </c>
      <c r="F8" s="52">
        <v>45986</v>
      </c>
      <c r="G8" s="52">
        <v>46057</v>
      </c>
      <c r="H8" s="52">
        <v>46057</v>
      </c>
      <c r="I8" s="53">
        <v>46035</v>
      </c>
      <c r="J8" s="477">
        <v>7884</v>
      </c>
      <c r="K8" s="175">
        <v>18</v>
      </c>
      <c r="L8" s="175">
        <f t="shared" si="1"/>
        <v>2190</v>
      </c>
      <c r="M8" s="175">
        <f t="shared" si="2"/>
        <v>2190</v>
      </c>
      <c r="N8" s="175"/>
      <c r="O8" s="175">
        <f t="shared" si="3"/>
        <v>1752</v>
      </c>
      <c r="P8" s="175">
        <f t="shared" si="4"/>
        <v>1752</v>
      </c>
      <c r="Q8" s="48" t="s">
        <v>672</v>
      </c>
      <c r="R8" s="49" t="s">
        <v>81</v>
      </c>
      <c r="S8" s="48" t="s">
        <v>3206</v>
      </c>
      <c r="T8" s="48"/>
      <c r="U8" s="48" t="s">
        <v>3213</v>
      </c>
      <c r="V8" s="48" t="s">
        <v>672</v>
      </c>
      <c r="W8" s="48" t="s">
        <v>2104</v>
      </c>
      <c r="X8" s="176">
        <v>46050</v>
      </c>
      <c r="Y8" s="211">
        <v>46050</v>
      </c>
      <c r="Z8" s="308"/>
      <c r="AA8" s="176">
        <v>46083</v>
      </c>
      <c r="AB8" s="177">
        <v>40945150</v>
      </c>
      <c r="AC8" s="480" t="s">
        <v>3214</v>
      </c>
    </row>
    <row r="9" s="3" customFormat="1" ht="35.25" hidden="1" customHeight="1" spans="1:30">
      <c r="A9" s="208">
        <f t="shared" si="0"/>
        <v>6</v>
      </c>
      <c r="B9" s="48" t="s">
        <v>3210</v>
      </c>
      <c r="C9" s="49" t="s">
        <v>135</v>
      </c>
      <c r="D9" s="50" t="s">
        <v>3218</v>
      </c>
      <c r="E9" s="50" t="s">
        <v>3212</v>
      </c>
      <c r="F9" s="52">
        <v>45986</v>
      </c>
      <c r="G9" s="52">
        <v>46057</v>
      </c>
      <c r="H9" s="52">
        <v>46057</v>
      </c>
      <c r="I9" s="53">
        <v>46035</v>
      </c>
      <c r="J9" s="477">
        <v>11106</v>
      </c>
      <c r="K9" s="175">
        <v>18</v>
      </c>
      <c r="L9" s="175">
        <f t="shared" si="1"/>
        <v>3085</v>
      </c>
      <c r="M9" s="175">
        <f t="shared" si="2"/>
        <v>3085</v>
      </c>
      <c r="N9" s="175"/>
      <c r="O9" s="175">
        <f t="shared" si="3"/>
        <v>2468</v>
      </c>
      <c r="P9" s="175">
        <f t="shared" si="4"/>
        <v>2468</v>
      </c>
      <c r="Q9" s="48" t="s">
        <v>672</v>
      </c>
      <c r="R9" s="49" t="s">
        <v>81</v>
      </c>
      <c r="S9" s="48" t="s">
        <v>3206</v>
      </c>
      <c r="T9" s="48"/>
      <c r="U9" s="48" t="s">
        <v>3213</v>
      </c>
      <c r="V9" s="48" t="s">
        <v>672</v>
      </c>
      <c r="W9" s="48" t="s">
        <v>2104</v>
      </c>
      <c r="X9" s="176">
        <v>46050</v>
      </c>
      <c r="Y9" s="211">
        <v>46050</v>
      </c>
      <c r="Z9" s="308"/>
      <c r="AA9" s="176">
        <v>46095</v>
      </c>
      <c r="AB9" s="177">
        <v>40945151</v>
      </c>
      <c r="AC9" s="480" t="s">
        <v>3214</v>
      </c>
    </row>
    <row r="10" s="3" customFormat="1" ht="35.25" hidden="1" customHeight="1" spans="1:30">
      <c r="A10" s="208">
        <f t="shared" si="0"/>
        <v>7</v>
      </c>
      <c r="B10" s="48" t="s">
        <v>3210</v>
      </c>
      <c r="C10" s="49" t="s">
        <v>135</v>
      </c>
      <c r="D10" s="50" t="s">
        <v>3219</v>
      </c>
      <c r="E10" s="50" t="s">
        <v>3212</v>
      </c>
      <c r="F10" s="52">
        <v>45986</v>
      </c>
      <c r="G10" s="52">
        <v>46057</v>
      </c>
      <c r="H10" s="52">
        <v>46057</v>
      </c>
      <c r="I10" s="53">
        <v>46035</v>
      </c>
      <c r="J10" s="477">
        <v>11376</v>
      </c>
      <c r="K10" s="175">
        <v>18</v>
      </c>
      <c r="L10" s="175">
        <f t="shared" si="1"/>
        <v>3160</v>
      </c>
      <c r="M10" s="175">
        <f t="shared" si="2"/>
        <v>3160</v>
      </c>
      <c r="N10" s="175"/>
      <c r="O10" s="175">
        <f t="shared" si="3"/>
        <v>2528</v>
      </c>
      <c r="P10" s="175">
        <f t="shared" si="4"/>
        <v>2528</v>
      </c>
      <c r="Q10" s="48" t="s">
        <v>672</v>
      </c>
      <c r="R10" s="49" t="s">
        <v>81</v>
      </c>
      <c r="S10" s="48" t="s">
        <v>3206</v>
      </c>
      <c r="T10" s="48"/>
      <c r="U10" s="48" t="s">
        <v>3213</v>
      </c>
      <c r="V10" s="48" t="s">
        <v>672</v>
      </c>
      <c r="W10" s="48" t="s">
        <v>2104</v>
      </c>
      <c r="X10" s="176">
        <v>46050</v>
      </c>
      <c r="Y10" s="211">
        <v>46050</v>
      </c>
      <c r="Z10" s="308"/>
      <c r="AA10" s="176">
        <v>46086</v>
      </c>
      <c r="AB10" s="177">
        <v>40945152</v>
      </c>
      <c r="AC10" s="480" t="s">
        <v>3214</v>
      </c>
    </row>
    <row r="11" s="3" customFormat="1" ht="35.25" hidden="1" customHeight="1" spans="1:30">
      <c r="A11" s="208">
        <f t="shared" si="0"/>
        <v>8</v>
      </c>
      <c r="B11" s="48" t="s">
        <v>3210</v>
      </c>
      <c r="C11" s="49" t="s">
        <v>135</v>
      </c>
      <c r="D11" s="50" t="s">
        <v>3220</v>
      </c>
      <c r="E11" s="50" t="s">
        <v>3212</v>
      </c>
      <c r="F11" s="52">
        <v>45986</v>
      </c>
      <c r="G11" s="52">
        <v>46057</v>
      </c>
      <c r="H11" s="52">
        <v>46057</v>
      </c>
      <c r="I11" s="53">
        <v>46035</v>
      </c>
      <c r="J11" s="477">
        <v>11826</v>
      </c>
      <c r="K11" s="175">
        <v>18</v>
      </c>
      <c r="L11" s="175">
        <f t="shared" si="1"/>
        <v>3285</v>
      </c>
      <c r="M11" s="175">
        <f t="shared" si="2"/>
        <v>3285</v>
      </c>
      <c r="N11" s="175"/>
      <c r="O11" s="175">
        <f t="shared" si="3"/>
        <v>2628</v>
      </c>
      <c r="P11" s="175">
        <f t="shared" si="4"/>
        <v>2628</v>
      </c>
      <c r="Q11" s="48" t="s">
        <v>672</v>
      </c>
      <c r="R11" s="49" t="s">
        <v>81</v>
      </c>
      <c r="S11" s="48" t="s">
        <v>3206</v>
      </c>
      <c r="T11" s="48"/>
      <c r="U11" s="48" t="s">
        <v>3213</v>
      </c>
      <c r="V11" s="48" t="s">
        <v>672</v>
      </c>
      <c r="W11" s="48" t="s">
        <v>2104</v>
      </c>
      <c r="X11" s="176">
        <v>46050</v>
      </c>
      <c r="Y11" s="211">
        <v>46050</v>
      </c>
      <c r="Z11" s="308"/>
      <c r="AA11" s="176">
        <v>46058</v>
      </c>
      <c r="AB11" s="177">
        <v>40945153</v>
      </c>
      <c r="AC11" s="480" t="s">
        <v>3214</v>
      </c>
    </row>
    <row r="12" s="3" customFormat="1" ht="35.25" hidden="1" customHeight="1" spans="1:30">
      <c r="A12" s="208">
        <f t="shared" si="0"/>
        <v>9</v>
      </c>
      <c r="B12" s="48" t="s">
        <v>1597</v>
      </c>
      <c r="C12" s="49" t="s">
        <v>135</v>
      </c>
      <c r="D12" s="50" t="s">
        <v>3221</v>
      </c>
      <c r="E12" s="50" t="s">
        <v>3222</v>
      </c>
      <c r="F12" s="52">
        <v>45987</v>
      </c>
      <c r="G12" s="52">
        <v>46056</v>
      </c>
      <c r="H12" s="52">
        <v>46056</v>
      </c>
      <c r="I12" s="53">
        <v>46024</v>
      </c>
      <c r="J12" s="477">
        <v>15012</v>
      </c>
      <c r="K12" s="175">
        <v>36</v>
      </c>
      <c r="L12" s="175">
        <f>$J12/$K12*10</f>
        <v>4170</v>
      </c>
      <c r="M12" s="175">
        <f>$J12/$K12*10</f>
        <v>4170</v>
      </c>
      <c r="N12" s="175"/>
      <c r="O12" s="175">
        <f>$J12/$K12*6</f>
        <v>2502</v>
      </c>
      <c r="P12" s="175">
        <f>$J12/$K12*10</f>
        <v>4170</v>
      </c>
      <c r="Q12" s="48" t="s">
        <v>672</v>
      </c>
      <c r="R12" s="49" t="s">
        <v>81</v>
      </c>
      <c r="S12" s="48" t="s">
        <v>3206</v>
      </c>
      <c r="T12" s="48"/>
      <c r="U12" s="48" t="s">
        <v>3223</v>
      </c>
      <c r="V12" s="48" t="s">
        <v>672</v>
      </c>
      <c r="W12" s="48" t="s">
        <v>3224</v>
      </c>
      <c r="X12" s="212">
        <v>46052</v>
      </c>
      <c r="Y12" s="211">
        <v>46051</v>
      </c>
      <c r="Z12" s="308"/>
      <c r="AA12" s="176">
        <v>46056</v>
      </c>
      <c r="AB12" s="177" t="s">
        <v>3225</v>
      </c>
      <c r="AC12" s="480" t="s">
        <v>3226</v>
      </c>
    </row>
    <row r="13" s="3" customFormat="1" ht="48" hidden="1" customHeight="1" spans="1:30">
      <c r="A13" s="215">
        <f t="shared" si="0"/>
        <v>10</v>
      </c>
      <c r="B13" s="183" t="s">
        <v>1597</v>
      </c>
      <c r="C13" s="96" t="s">
        <v>135</v>
      </c>
      <c r="D13" s="293" t="s">
        <v>3227</v>
      </c>
      <c r="E13" s="293"/>
      <c r="F13" s="217">
        <v>45987</v>
      </c>
      <c r="G13" s="217">
        <v>46056</v>
      </c>
      <c r="H13" s="217">
        <v>46056</v>
      </c>
      <c r="I13" s="218">
        <v>46024</v>
      </c>
      <c r="J13" s="360">
        <v>54</v>
      </c>
      <c r="K13" s="95">
        <v>18</v>
      </c>
      <c r="L13" s="277">
        <f>$J13/$K13*5</f>
        <v>15</v>
      </c>
      <c r="M13" s="277">
        <f>$J13/$K13*5</f>
        <v>15</v>
      </c>
      <c r="N13" s="277"/>
      <c r="O13" s="277">
        <f>$J13/$K13*3</f>
        <v>9</v>
      </c>
      <c r="P13" s="277">
        <f>$J13/$K13*5</f>
        <v>15</v>
      </c>
      <c r="Q13" s="492" t="s">
        <v>672</v>
      </c>
      <c r="R13" s="96" t="s">
        <v>81</v>
      </c>
      <c r="S13" s="183" t="s">
        <v>3206</v>
      </c>
      <c r="T13" s="183"/>
      <c r="U13" s="96"/>
      <c r="V13" s="183" t="s">
        <v>672</v>
      </c>
      <c r="W13" s="183" t="s">
        <v>3228</v>
      </c>
      <c r="X13" s="221">
        <v>46052</v>
      </c>
      <c r="Y13" s="222"/>
      <c r="Z13" s="222"/>
      <c r="AA13" s="97">
        <v>46056</v>
      </c>
      <c r="AB13" s="178" t="s">
        <v>3225</v>
      </c>
      <c r="AC13" s="480" t="s">
        <v>3226</v>
      </c>
    </row>
    <row r="14" s="3" customFormat="1" ht="35.25" hidden="1" customHeight="1" spans="1:30">
      <c r="A14" s="208">
        <f t="shared" si="0"/>
        <v>11</v>
      </c>
      <c r="B14" s="48" t="s">
        <v>3229</v>
      </c>
      <c r="C14" s="49" t="s">
        <v>1882</v>
      </c>
      <c r="D14" s="50" t="s">
        <v>3230</v>
      </c>
      <c r="E14" s="50" t="s">
        <v>3231</v>
      </c>
      <c r="F14" s="52">
        <v>46044</v>
      </c>
      <c r="G14" s="52">
        <v>46120</v>
      </c>
      <c r="H14" s="52">
        <v>46120</v>
      </c>
      <c r="I14" s="53">
        <v>46057</v>
      </c>
      <c r="J14" s="477">
        <v>20016</v>
      </c>
      <c r="K14" s="175">
        <v>18</v>
      </c>
      <c r="L14" s="175">
        <v>4448</v>
      </c>
      <c r="M14" s="175">
        <v>4448</v>
      </c>
      <c r="N14" s="175">
        <v>4448</v>
      </c>
      <c r="O14" s="175">
        <v>3336</v>
      </c>
      <c r="P14" s="175">
        <v>3336</v>
      </c>
      <c r="Q14" s="48" t="s">
        <v>1512</v>
      </c>
      <c r="R14" s="49" t="s">
        <v>81</v>
      </c>
      <c r="S14" s="48" t="s">
        <v>1036</v>
      </c>
      <c r="T14" s="48" t="s">
        <v>1731</v>
      </c>
      <c r="U14" s="48" t="s">
        <v>1036</v>
      </c>
      <c r="V14" s="48" t="s">
        <v>1512</v>
      </c>
      <c r="W14" s="48" t="s">
        <v>2104</v>
      </c>
      <c r="X14" s="212">
        <v>46120</v>
      </c>
      <c r="Y14" s="211" t="s">
        <v>3232</v>
      </c>
      <c r="Z14" s="308"/>
      <c r="AA14" s="176">
        <v>46135</v>
      </c>
      <c r="AB14" s="177" t="s">
        <v>3233</v>
      </c>
      <c r="AC14" s="480" t="s">
        <v>3234</v>
      </c>
    </row>
    <row r="15" s="3" customFormat="1" ht="35.25" hidden="1" customHeight="1" spans="1:30">
      <c r="A15" s="208">
        <f t="shared" si="0"/>
        <v>12</v>
      </c>
      <c r="B15" s="48" t="s">
        <v>2158</v>
      </c>
      <c r="C15" s="49" t="s">
        <v>1882</v>
      </c>
      <c r="D15" s="50" t="s">
        <v>2159</v>
      </c>
      <c r="E15" s="50" t="s">
        <v>2160</v>
      </c>
      <c r="F15" s="52">
        <v>46125</v>
      </c>
      <c r="G15" s="52">
        <v>46185</v>
      </c>
      <c r="H15" s="52">
        <v>46185</v>
      </c>
      <c r="I15" s="53">
        <v>46154</v>
      </c>
      <c r="J15" s="477">
        <v>6858</v>
      </c>
      <c r="K15" s="175">
        <v>18</v>
      </c>
      <c r="L15" s="175">
        <v>1524</v>
      </c>
      <c r="M15" s="175">
        <v>1524</v>
      </c>
      <c r="N15" s="175">
        <v>1524</v>
      </c>
      <c r="O15" s="175">
        <v>1143</v>
      </c>
      <c r="P15" s="175">
        <v>1143</v>
      </c>
      <c r="Q15" s="624" t="s">
        <v>2147</v>
      </c>
      <c r="R15" s="49" t="s">
        <v>81</v>
      </c>
      <c r="S15" s="48" t="s">
        <v>1393</v>
      </c>
      <c r="T15" s="48" t="s">
        <v>1744</v>
      </c>
      <c r="U15" s="48" t="s">
        <v>155</v>
      </c>
      <c r="V15" s="48" t="s">
        <v>2147</v>
      </c>
      <c r="W15" s="48" t="s">
        <v>2161</v>
      </c>
      <c r="X15" s="212">
        <v>46185</v>
      </c>
      <c r="Y15" s="211">
        <v>46189</v>
      </c>
      <c r="Z15" s="308"/>
      <c r="AA15" s="176">
        <v>46196</v>
      </c>
      <c r="AB15" s="177" t="s">
        <v>2162</v>
      </c>
      <c r="AC15" s="480" t="s">
        <v>3234</v>
      </c>
    </row>
    <row r="16" s="3" customFormat="1" ht="35.25" hidden="1" customHeight="1" spans="1:30">
      <c r="A16" s="208">
        <f t="shared" si="0"/>
        <v>13</v>
      </c>
      <c r="B16" s="48" t="s">
        <v>2158</v>
      </c>
      <c r="C16" s="49" t="s">
        <v>1882</v>
      </c>
      <c r="D16" s="50" t="s">
        <v>2164</v>
      </c>
      <c r="E16" s="50" t="s">
        <v>2165</v>
      </c>
      <c r="F16" s="52">
        <v>46125</v>
      </c>
      <c r="G16" s="52">
        <v>46185</v>
      </c>
      <c r="H16" s="52">
        <v>46185</v>
      </c>
      <c r="I16" s="53">
        <v>46154</v>
      </c>
      <c r="J16" s="477">
        <f>SUBTOTAL(9,L16:P16)</f>
        <v>0</v>
      </c>
      <c r="K16" s="175">
        <v>18</v>
      </c>
      <c r="L16" s="175">
        <v>1304</v>
      </c>
      <c r="M16" s="175">
        <v>1304</v>
      </c>
      <c r="N16" s="175">
        <v>1304</v>
      </c>
      <c r="O16" s="175">
        <v>978</v>
      </c>
      <c r="P16" s="175">
        <v>978</v>
      </c>
      <c r="Q16" s="624" t="s">
        <v>2147</v>
      </c>
      <c r="R16" s="49" t="s">
        <v>81</v>
      </c>
      <c r="S16" s="48" t="s">
        <v>1393</v>
      </c>
      <c r="T16" s="48" t="s">
        <v>1744</v>
      </c>
      <c r="U16" s="48" t="s">
        <v>155</v>
      </c>
      <c r="V16" s="48" t="s">
        <v>2147</v>
      </c>
      <c r="W16" s="48" t="s">
        <v>2161</v>
      </c>
      <c r="X16" s="212">
        <v>46185</v>
      </c>
      <c r="Y16" s="211">
        <v>46189</v>
      </c>
      <c r="Z16" s="308"/>
      <c r="AA16" s="176">
        <v>46196</v>
      </c>
      <c r="AB16" s="177" t="s">
        <v>2166</v>
      </c>
      <c r="AC16" s="480" t="s">
        <v>3234</v>
      </c>
    </row>
    <row r="17" s="3" customFormat="1" ht="35.25" hidden="1" customHeight="1" spans="1:30">
      <c r="A17" s="208">
        <f t="shared" si="0"/>
        <v>14</v>
      </c>
      <c r="B17" s="48" t="s">
        <v>2430</v>
      </c>
      <c r="C17" s="49" t="s">
        <v>325</v>
      </c>
      <c r="D17" s="50" t="s">
        <v>2431</v>
      </c>
      <c r="E17" s="50" t="s">
        <v>2432</v>
      </c>
      <c r="F17" s="52">
        <v>46155</v>
      </c>
      <c r="G17" s="52">
        <v>46248</v>
      </c>
      <c r="H17" s="52">
        <v>46248</v>
      </c>
      <c r="I17" s="53">
        <v>46182</v>
      </c>
      <c r="J17" s="477">
        <f>SUBTOTAL(9,L17:P17)</f>
        <v>0</v>
      </c>
      <c r="K17" s="175">
        <v>18</v>
      </c>
      <c r="L17" s="175">
        <v>1224</v>
      </c>
      <c r="M17" s="175">
        <v>1224</v>
      </c>
      <c r="N17" s="175">
        <v>1224</v>
      </c>
      <c r="O17" s="175">
        <v>918</v>
      </c>
      <c r="P17" s="175">
        <v>918</v>
      </c>
      <c r="Q17" s="48" t="s">
        <v>581</v>
      </c>
      <c r="R17" s="49" t="s">
        <v>81</v>
      </c>
      <c r="S17" s="48" t="s">
        <v>1227</v>
      </c>
      <c r="T17" s="49" t="s">
        <v>1602</v>
      </c>
      <c r="U17" s="48" t="s">
        <v>2433</v>
      </c>
      <c r="V17" s="48" t="s">
        <v>581</v>
      </c>
      <c r="W17" s="48" t="s">
        <v>2434</v>
      </c>
      <c r="X17" s="212">
        <v>46248</v>
      </c>
      <c r="Y17" s="317">
        <v>46252</v>
      </c>
      <c r="Z17" s="308"/>
      <c r="AA17" s="176">
        <v>46259</v>
      </c>
      <c r="AB17" s="177" t="s">
        <v>2435</v>
      </c>
      <c r="AC17" s="480" t="s">
        <v>3234</v>
      </c>
      <c r="AD17" s="3" t="s">
        <v>3235</v>
      </c>
    </row>
    <row r="18" s="3" customFormat="1" ht="35.25" customHeight="1" spans="1:30">
      <c r="A18" s="688">
        <f t="shared" si="0"/>
        <v>15</v>
      </c>
      <c r="B18" s="689" t="s">
        <v>3236</v>
      </c>
      <c r="C18" s="690" t="s">
        <v>271</v>
      </c>
      <c r="D18" s="691" t="s">
        <v>3237</v>
      </c>
      <c r="E18" s="691"/>
      <c r="F18" s="692">
        <v>46185</v>
      </c>
      <c r="G18" s="692">
        <v>46289</v>
      </c>
      <c r="H18" s="692">
        <v>46289</v>
      </c>
      <c r="I18" s="693"/>
      <c r="J18" s="694">
        <f>SUBTOTAL(9,L18:P18)</f>
        <v>0</v>
      </c>
      <c r="K18" s="95">
        <v>18</v>
      </c>
      <c r="L18" s="277">
        <v>0</v>
      </c>
      <c r="M18" s="277">
        <v>0</v>
      </c>
      <c r="N18" s="277">
        <v>0</v>
      </c>
      <c r="O18" s="277">
        <v>0</v>
      </c>
      <c r="P18" s="277">
        <v>0</v>
      </c>
      <c r="Q18" s="492"/>
      <c r="R18" s="96"/>
      <c r="S18" s="183"/>
      <c r="T18" s="183"/>
      <c r="U18" s="183"/>
      <c r="V18" s="183"/>
      <c r="W18" s="183"/>
      <c r="X18" s="695">
        <v>46289</v>
      </c>
      <c r="Z18" s="222"/>
      <c r="AA18" s="97"/>
      <c r="AB18" s="178" t="s">
        <v>3238</v>
      </c>
      <c r="AC18" s="480" t="s">
        <v>3239</v>
      </c>
      <c r="AD18" s="159" t="s">
        <v>3240</v>
      </c>
    </row>
    <row r="19" s="3" customFormat="1" ht="35.25" customHeight="1" spans="1:30">
      <c r="A19" s="215">
        <f t="shared" si="0"/>
        <v>16</v>
      </c>
      <c r="B19" s="183"/>
      <c r="C19" s="96"/>
      <c r="D19" s="216"/>
      <c r="E19" s="216"/>
      <c r="F19" s="217"/>
      <c r="G19" s="217"/>
      <c r="H19" s="217"/>
      <c r="I19" s="218"/>
      <c r="J19" s="360"/>
      <c r="K19" s="95"/>
      <c r="L19" s="277"/>
      <c r="M19" s="277"/>
      <c r="N19" s="277"/>
      <c r="O19" s="277"/>
      <c r="P19" s="277"/>
      <c r="Q19" s="492"/>
      <c r="R19" s="96"/>
      <c r="S19" s="183"/>
      <c r="T19" s="183"/>
      <c r="U19" s="183"/>
      <c r="V19" s="183"/>
      <c r="W19" s="183"/>
      <c r="X19" s="221"/>
      <c r="Y19" s="279"/>
      <c r="Z19" s="222"/>
      <c r="AA19" s="97"/>
      <c r="AB19" s="178"/>
    </row>
    <row r="20" s="3" customFormat="1" ht="17.1" customHeight="1" spans="1:30">
      <c r="A20" s="93" t="s">
        <v>66</v>
      </c>
      <c r="B20" s="94"/>
      <c r="C20" s="94"/>
      <c r="D20" s="94"/>
      <c r="E20" s="94"/>
      <c r="F20" s="94"/>
      <c r="G20" s="94"/>
      <c r="H20" s="94"/>
      <c r="I20" s="94"/>
      <c r="J20" s="360">
        <f>SUM(J4:J14)</f>
        <v>142722</v>
      </c>
      <c r="K20" s="95"/>
      <c r="L20" s="95">
        <f>SUM(L4:L19)</f>
        <v>41585</v>
      </c>
      <c r="M20" s="95">
        <f>SUM(M4:M19)</f>
        <v>41585</v>
      </c>
      <c r="N20" s="95">
        <f>SUM(N4:N19)</f>
        <v>8500</v>
      </c>
      <c r="O20" s="95">
        <f>SUM(O4:O19)</f>
        <v>33806</v>
      </c>
      <c r="P20" s="95">
        <f>SUM(P4:P19)</f>
        <v>35480</v>
      </c>
      <c r="Q20" s="95"/>
      <c r="R20" s="96"/>
      <c r="S20" s="96"/>
      <c r="T20" s="96"/>
      <c r="U20" s="96"/>
      <c r="V20" s="96"/>
      <c r="W20" s="96"/>
      <c r="X20" s="97"/>
      <c r="Y20" s="97"/>
      <c r="Z20" s="97"/>
      <c r="AA20" s="97"/>
      <c r="AB20" s="98"/>
    </row>
    <row r="21" s="4" customFormat="1" ht="17.1" customHeight="1" spans="1:30">
      <c r="A21" s="99"/>
      <c r="B21" s="100"/>
      <c r="C21" s="100"/>
      <c r="D21" s="100"/>
      <c r="E21" s="100"/>
      <c r="F21" s="100"/>
      <c r="G21" s="100"/>
      <c r="H21" s="100"/>
      <c r="I21" s="100"/>
      <c r="J21" s="696">
        <f>SUBTOTAL(9,L21:P21)</f>
        <v>160956</v>
      </c>
      <c r="K21" s="100"/>
      <c r="L21" s="147">
        <f>33070+4463+2828+1224</f>
        <v>41585</v>
      </c>
      <c r="M21" s="147">
        <f>33070+4463+2828+1224</f>
        <v>41585</v>
      </c>
      <c r="N21" s="147">
        <f>4448+2828+1224</f>
        <v>8500</v>
      </c>
      <c r="O21" s="147">
        <f>27422+3345+2121+918</f>
        <v>33806</v>
      </c>
      <c r="P21" s="147">
        <f>29090+3351+2121+918</f>
        <v>35480</v>
      </c>
      <c r="Q21" s="147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2"/>
    </row>
    <row r="22" s="4" customFormat="1" ht="19.5" customHeight="1" spans="1:30">
      <c r="A22" s="241" t="s">
        <v>67</v>
      </c>
      <c r="B22" s="242"/>
      <c r="C22" s="242"/>
      <c r="D22" s="242"/>
      <c r="E22" s="242"/>
      <c r="F22" s="242"/>
      <c r="G22" s="242"/>
      <c r="H22" s="242"/>
      <c r="I22" s="243"/>
      <c r="J22" s="697">
        <f>SUBTOTAL(9,L22:P22)</f>
        <v>0</v>
      </c>
      <c r="K22" s="245"/>
      <c r="L22" s="106">
        <f>L21-L20</f>
        <v>0</v>
      </c>
      <c r="M22" s="106">
        <f>M21-M20</f>
        <v>0</v>
      </c>
      <c r="N22" s="106">
        <f>N21-N20</f>
        <v>0</v>
      </c>
      <c r="O22" s="106">
        <f>O21-O20</f>
        <v>0</v>
      </c>
      <c r="P22" s="106">
        <f>P21-P20</f>
        <v>0</v>
      </c>
      <c r="Q22" s="106"/>
      <c r="R22" s="106"/>
      <c r="S22" s="106"/>
      <c r="T22" s="106"/>
      <c r="U22" s="106"/>
      <c r="V22" s="106"/>
      <c r="W22" s="106"/>
      <c r="X22" s="107"/>
      <c r="Y22" s="107"/>
      <c r="Z22" s="107"/>
      <c r="AA22" s="107"/>
      <c r="AB22" s="109"/>
    </row>
    <row r="23" ht="21" customHeight="1" spans="1:30">
      <c r="B23" s="110" t="s">
        <v>68</v>
      </c>
      <c r="C23" s="110"/>
      <c r="D23" s="111"/>
      <c r="E23" s="111"/>
      <c r="F23" s="111"/>
      <c r="G23" s="111"/>
      <c r="H23" s="698"/>
      <c r="I23" s="698"/>
      <c r="J23" s="372"/>
      <c r="L23" s="445"/>
      <c r="M23" s="445"/>
      <c r="N23" s="445"/>
      <c r="O23" s="445"/>
      <c r="P23" s="445"/>
    </row>
  </sheetData>
  <autoFilter xmlns:etc="http://www.wps.cn/officeDocument/2017/etCustomData" ref="A3:AC23" etc:filterBottomFollowUsedRange="0">
    <filterColumn colId="26">
      <filters blank="1"/>
    </filterColumn>
    <extLst/>
  </autoFilter>
  <mergeCells count="31">
    <mergeCell ref="A1:W1"/>
    <mergeCell ref="X1:Z1"/>
    <mergeCell ref="AA1:AB1"/>
    <mergeCell ref="L2:P2"/>
    <mergeCell ref="A20:I20"/>
    <mergeCell ref="A21:I21"/>
    <mergeCell ref="A22:I22"/>
    <mergeCell ref="H23:I2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</mergeCells>
  <conditionalFormatting sqref="J22">
    <cfRule type="cellIs" dxfId="0" priority="1" operator="lessThan">
      <formula>0</formula>
    </cfRule>
  </conditionalFormatting>
  <conditionalFormatting sqref="L22:W22">
    <cfRule type="cellIs" dxfId="0" priority="2" operator="lessThan">
      <formula>0</formula>
    </cfRule>
  </conditionalFormatting>
  <printOptions horizontalCentered="1"/>
  <pageMargins left="0.313888888888889" right="0.313888888888889" top="0.354166666666667" bottom="0.354166666666667" header="0.313888888888889" footer="0.313888888888889"/>
  <pageSetup paperSize="9" scale="79" orientation="landscape"/>
  <headerFooter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C000"/>
  </sheetPr>
  <dimension ref="A1:BF153"/>
  <sheetViews>
    <sheetView workbookViewId="0">
      <pane xSplit="11" ySplit="5" topLeftCell="AL98" activePane="bottomRight" state="frozen"/>
      <selection/>
      <selection pane="topRight"/>
      <selection pane="bottomLeft"/>
      <selection pane="bottomRight" activeCell="AZ111" sqref="AZ111"/>
    </sheetView>
  </sheetViews>
  <sheetFormatPr defaultColWidth="9" defaultRowHeight="14.25"/>
  <cols>
    <col min="1" max="1" width="4.125" style="288" customWidth="1"/>
    <col min="2" max="2" width="7.5" style="288" customWidth="1"/>
    <col min="3" max="3" width="6.375" style="288" customWidth="1"/>
    <col min="4" max="4" width="11.125" style="288" customWidth="1"/>
    <col min="5" max="5" width="9.5" style="288" customWidth="1"/>
    <col min="6" max="8" width="6.375" style="288" customWidth="1"/>
    <col min="9" max="9" width="5.875" style="288" customWidth="1"/>
    <col min="10" max="10" width="9" style="288"/>
    <col min="11" max="11" width="5.125" style="288" customWidth="1"/>
    <col min="12" max="17" width="6" style="288" hidden="1" customWidth="1"/>
    <col min="18" max="23" width="6" style="288" customWidth="1"/>
    <col min="24" max="37" width="6" style="288" hidden="1" customWidth="1"/>
    <col min="38" max="43" width="6" style="288" customWidth="1"/>
    <col min="44" max="44" width="7.875" style="288" customWidth="1"/>
    <col min="45" max="48" width="5.625" style="288" customWidth="1"/>
    <col min="49" max="49" width="8.625" style="288" customWidth="1"/>
    <col min="50" max="50" width="24.5" style="288" customWidth="1"/>
    <col min="51" max="51" width="8.375" style="288" customWidth="1"/>
    <col min="52" max="52" width="8.625" style="288" customWidth="1"/>
    <col min="53" max="53" width="8" style="288" customWidth="1"/>
    <col min="54" max="54" width="9" style="288" customWidth="1"/>
    <col min="55" max="55" width="10.875" style="288" customWidth="1"/>
    <col min="56" max="56" width="19.375" style="288" customWidth="1"/>
    <col min="57" max="57" width="12" style="288" customWidth="1"/>
    <col min="58" max="16384" width="9" style="288"/>
  </cols>
  <sheetData>
    <row r="1" s="519" customFormat="1" ht="35.1" customHeight="1" spans="1:58">
      <c r="A1" s="524" t="s">
        <v>3241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5"/>
      <c r="U1" s="525"/>
      <c r="V1" s="525"/>
      <c r="W1" s="525"/>
      <c r="X1" s="525"/>
      <c r="Y1" s="525"/>
      <c r="Z1" s="525"/>
      <c r="AA1" s="525"/>
      <c r="AB1" s="525"/>
      <c r="AC1" s="525"/>
      <c r="AD1" s="525"/>
      <c r="AE1" s="525"/>
      <c r="AF1" s="525"/>
      <c r="AG1" s="525"/>
      <c r="AH1" s="525"/>
      <c r="AI1" s="525"/>
      <c r="AJ1" s="525"/>
      <c r="AK1" s="525"/>
      <c r="AL1" s="525"/>
      <c r="AM1" s="525"/>
      <c r="AN1" s="525"/>
      <c r="AO1" s="525"/>
      <c r="AP1" s="525"/>
      <c r="AQ1" s="525"/>
      <c r="AR1" s="525"/>
      <c r="AS1" s="525"/>
      <c r="AT1" s="525"/>
      <c r="AU1" s="525"/>
      <c r="AV1" s="525"/>
      <c r="AW1" s="525"/>
      <c r="AX1" s="525"/>
      <c r="AY1" s="602" t="s">
        <v>1</v>
      </c>
      <c r="AZ1" s="603"/>
      <c r="BA1" s="604">
        <f ca="1">TODAY()</f>
        <v>46277</v>
      </c>
      <c r="BB1" s="604"/>
      <c r="BC1" s="605"/>
    </row>
    <row r="2" s="520" customFormat="1" ht="19.5" customHeight="1" spans="1:58">
      <c r="A2" s="541" t="s">
        <v>2</v>
      </c>
      <c r="B2" s="542" t="s">
        <v>3</v>
      </c>
      <c r="C2" s="542" t="s">
        <v>4</v>
      </c>
      <c r="D2" s="542" t="s">
        <v>5</v>
      </c>
      <c r="E2" s="606" t="s">
        <v>6</v>
      </c>
      <c r="F2" s="542" t="s">
        <v>7</v>
      </c>
      <c r="G2" s="542" t="s">
        <v>8</v>
      </c>
      <c r="H2" s="542" t="s">
        <v>9</v>
      </c>
      <c r="I2" s="542" t="s">
        <v>10</v>
      </c>
      <c r="J2" s="542" t="s">
        <v>11</v>
      </c>
      <c r="K2" s="542" t="s">
        <v>12</v>
      </c>
      <c r="L2" s="642" t="s">
        <v>13</v>
      </c>
      <c r="M2" s="643"/>
      <c r="N2" s="643"/>
      <c r="O2" s="643"/>
      <c r="P2" s="643"/>
      <c r="Q2" s="643"/>
      <c r="R2" s="643"/>
      <c r="S2" s="643"/>
      <c r="T2" s="643"/>
      <c r="U2" s="643"/>
      <c r="V2" s="643"/>
      <c r="W2" s="643"/>
      <c r="X2" s="643"/>
      <c r="Y2" s="643"/>
      <c r="Z2" s="643"/>
      <c r="AA2" s="643"/>
      <c r="AB2" s="643"/>
      <c r="AC2" s="643"/>
      <c r="AD2" s="643"/>
      <c r="AE2" s="643"/>
      <c r="AF2" s="643"/>
      <c r="AG2" s="643"/>
      <c r="AH2" s="643"/>
      <c r="AI2" s="643"/>
      <c r="AJ2" s="643"/>
      <c r="AK2" s="643"/>
      <c r="AL2" s="643"/>
      <c r="AM2" s="643"/>
      <c r="AN2" s="643"/>
      <c r="AO2" s="643"/>
      <c r="AP2" s="643"/>
      <c r="AQ2" s="644"/>
      <c r="AR2" s="549" t="s">
        <v>3242</v>
      </c>
      <c r="AS2" s="547" t="s">
        <v>1907</v>
      </c>
      <c r="AT2" s="608" t="s">
        <v>3243</v>
      </c>
      <c r="AU2" s="547" t="s">
        <v>178</v>
      </c>
      <c r="AV2" s="547" t="s">
        <v>19</v>
      </c>
      <c r="AW2" s="547" t="s">
        <v>3244</v>
      </c>
      <c r="AX2" s="548" t="s">
        <v>21</v>
      </c>
      <c r="AY2" s="549" t="s">
        <v>22</v>
      </c>
      <c r="AZ2" s="550" t="s">
        <v>23</v>
      </c>
      <c r="BA2" s="550" t="s">
        <v>24</v>
      </c>
      <c r="BB2" s="550" t="s">
        <v>25</v>
      </c>
      <c r="BC2" s="551" t="s">
        <v>26</v>
      </c>
      <c r="BD2" s="609" t="s">
        <v>65</v>
      </c>
      <c r="BE2" s="609" t="s">
        <v>3245</v>
      </c>
      <c r="BF2" s="609" t="s">
        <v>3246</v>
      </c>
    </row>
    <row r="3" s="520" customFormat="1" ht="19.5" customHeight="1" spans="1:58">
      <c r="A3" s="541"/>
      <c r="B3" s="542"/>
      <c r="C3" s="542"/>
      <c r="D3" s="542"/>
      <c r="E3" s="543"/>
      <c r="F3" s="542"/>
      <c r="G3" s="542"/>
      <c r="H3" s="542"/>
      <c r="I3" s="542"/>
      <c r="J3" s="542"/>
      <c r="K3" s="542"/>
      <c r="L3" s="542" t="s">
        <v>2229</v>
      </c>
      <c r="M3" s="542"/>
      <c r="N3" s="542"/>
      <c r="O3" s="542"/>
      <c r="P3" s="542"/>
      <c r="Q3" s="542"/>
      <c r="R3" s="645" t="s">
        <v>2227</v>
      </c>
      <c r="S3" s="645"/>
      <c r="T3" s="645"/>
      <c r="U3" s="645"/>
      <c r="V3" s="646" t="s">
        <v>2228</v>
      </c>
      <c r="W3" s="647"/>
      <c r="X3" s="647"/>
      <c r="Y3" s="648"/>
      <c r="Z3" s="649" t="s">
        <v>1981</v>
      </c>
      <c r="AA3" s="649"/>
      <c r="AB3" s="649"/>
      <c r="AC3" s="649"/>
      <c r="AD3" s="649"/>
      <c r="AE3" s="649"/>
      <c r="AF3" s="544" t="s">
        <v>3247</v>
      </c>
      <c r="AG3" s="544"/>
      <c r="AH3" s="544"/>
      <c r="AI3" s="544"/>
      <c r="AJ3" s="544"/>
      <c r="AK3" s="544"/>
      <c r="AL3" s="650" t="s">
        <v>3248</v>
      </c>
      <c r="AM3" s="651"/>
      <c r="AN3" s="651"/>
      <c r="AO3" s="651"/>
      <c r="AP3" s="651"/>
      <c r="AQ3" s="652"/>
      <c r="AR3" s="549"/>
      <c r="AS3" s="547"/>
      <c r="AT3" s="546"/>
      <c r="AU3" s="547"/>
      <c r="AV3" s="547"/>
      <c r="AW3" s="547"/>
      <c r="AX3" s="548"/>
      <c r="AY3" s="549"/>
      <c r="AZ3" s="550"/>
      <c r="BA3" s="550"/>
      <c r="BB3" s="550"/>
      <c r="BC3" s="551"/>
      <c r="BD3" s="609"/>
      <c r="BE3" s="609"/>
      <c r="BF3" s="609"/>
    </row>
    <row r="4" s="520" customFormat="1" ht="19.5" customHeight="1" spans="1:58">
      <c r="A4" s="541"/>
      <c r="B4" s="542"/>
      <c r="C4" s="542"/>
      <c r="D4" s="542"/>
      <c r="E4" s="543"/>
      <c r="F4" s="542"/>
      <c r="G4" s="542"/>
      <c r="H4" s="542"/>
      <c r="I4" s="542"/>
      <c r="J4" s="542"/>
      <c r="K4" s="542"/>
      <c r="L4" s="653" t="s">
        <v>3249</v>
      </c>
      <c r="M4" s="654"/>
      <c r="N4" s="653" t="s">
        <v>3250</v>
      </c>
      <c r="O4" s="654"/>
      <c r="P4" s="653" t="s">
        <v>3251</v>
      </c>
      <c r="Q4" s="654"/>
      <c r="R4" s="645" t="s">
        <v>3252</v>
      </c>
      <c r="S4" s="654"/>
      <c r="T4" s="645" t="s">
        <v>3253</v>
      </c>
      <c r="U4" s="654"/>
      <c r="V4" s="649" t="s">
        <v>3254</v>
      </c>
      <c r="W4" s="649"/>
      <c r="X4" s="649" t="s">
        <v>3255</v>
      </c>
      <c r="Y4" s="649"/>
      <c r="Z4" s="650" t="s">
        <v>3256</v>
      </c>
      <c r="AA4" s="652"/>
      <c r="AB4" s="650" t="s">
        <v>3257</v>
      </c>
      <c r="AC4" s="652"/>
      <c r="AD4" s="650" t="s">
        <v>3258</v>
      </c>
      <c r="AE4" s="652"/>
      <c r="AF4" s="650" t="s">
        <v>3259</v>
      </c>
      <c r="AG4" s="652"/>
      <c r="AH4" s="650" t="s">
        <v>3260</v>
      </c>
      <c r="AI4" s="652"/>
      <c r="AJ4" s="650" t="s">
        <v>3261</v>
      </c>
      <c r="AK4" s="652"/>
      <c r="AL4" s="651" t="s">
        <v>3262</v>
      </c>
      <c r="AM4" s="652"/>
      <c r="AN4" s="651" t="s">
        <v>3263</v>
      </c>
      <c r="AO4" s="652"/>
      <c r="AP4" s="651" t="s">
        <v>3264</v>
      </c>
      <c r="AQ4" s="652"/>
      <c r="AR4" s="549"/>
      <c r="AS4" s="547"/>
      <c r="AT4" s="546"/>
      <c r="AU4" s="547"/>
      <c r="AV4" s="547"/>
      <c r="AW4" s="547"/>
      <c r="AX4" s="548"/>
      <c r="AY4" s="549"/>
      <c r="AZ4" s="550"/>
      <c r="BA4" s="550"/>
      <c r="BB4" s="550"/>
      <c r="BC4" s="551"/>
      <c r="BD4" s="609"/>
      <c r="BE4" s="609"/>
      <c r="BF4" s="609"/>
    </row>
    <row r="5" s="520" customFormat="1" ht="37.5" customHeight="1" spans="1:58">
      <c r="A5" s="541"/>
      <c r="B5" s="542"/>
      <c r="C5" s="542"/>
      <c r="D5" s="542"/>
      <c r="E5" s="552"/>
      <c r="F5" s="542"/>
      <c r="G5" s="542"/>
      <c r="H5" s="542"/>
      <c r="I5" s="542"/>
      <c r="J5" s="542"/>
      <c r="K5" s="542"/>
      <c r="L5" s="556" t="s">
        <v>3265</v>
      </c>
      <c r="M5" s="655" t="s">
        <v>3266</v>
      </c>
      <c r="N5" s="556" t="s">
        <v>3267</v>
      </c>
      <c r="O5" s="655" t="s">
        <v>3268</v>
      </c>
      <c r="P5" s="556" t="s">
        <v>3269</v>
      </c>
      <c r="Q5" s="655" t="s">
        <v>3270</v>
      </c>
      <c r="R5" s="656" t="s">
        <v>1571</v>
      </c>
      <c r="S5" s="657" t="s">
        <v>1572</v>
      </c>
      <c r="T5" s="656" t="s">
        <v>1561</v>
      </c>
      <c r="U5" s="657" t="s">
        <v>1565</v>
      </c>
      <c r="V5" s="658" t="s">
        <v>1562</v>
      </c>
      <c r="W5" s="611" t="s">
        <v>1568</v>
      </c>
      <c r="X5" s="658" t="s">
        <v>1563</v>
      </c>
      <c r="Y5" s="611" t="s">
        <v>1570</v>
      </c>
      <c r="Z5" s="313" t="s">
        <v>1985</v>
      </c>
      <c r="AA5" s="659" t="s">
        <v>1986</v>
      </c>
      <c r="AB5" s="630" t="s">
        <v>1623</v>
      </c>
      <c r="AC5" s="655" t="s">
        <v>2231</v>
      </c>
      <c r="AD5" s="630" t="s">
        <v>2236</v>
      </c>
      <c r="AE5" s="655" t="s">
        <v>2237</v>
      </c>
      <c r="AF5" s="630" t="s">
        <v>45</v>
      </c>
      <c r="AG5" s="655" t="s">
        <v>3271</v>
      </c>
      <c r="AH5" s="630" t="s">
        <v>54</v>
      </c>
      <c r="AI5" s="655" t="s">
        <v>53</v>
      </c>
      <c r="AJ5" s="630" t="s">
        <v>3272</v>
      </c>
      <c r="AK5" s="655" t="s">
        <v>55</v>
      </c>
      <c r="AL5" s="655" t="s">
        <v>51</v>
      </c>
      <c r="AM5" s="556" t="s">
        <v>52</v>
      </c>
      <c r="AN5" s="655" t="s">
        <v>1997</v>
      </c>
      <c r="AO5" s="556" t="s">
        <v>1998</v>
      </c>
      <c r="AP5" s="655" t="s">
        <v>36</v>
      </c>
      <c r="AQ5" s="556" t="s">
        <v>35</v>
      </c>
      <c r="AR5" s="549"/>
      <c r="AS5" s="547"/>
      <c r="AT5" s="554"/>
      <c r="AU5" s="547"/>
      <c r="AV5" s="547"/>
      <c r="AW5" s="547"/>
      <c r="AX5" s="548"/>
      <c r="AY5" s="549"/>
      <c r="AZ5" s="550"/>
      <c r="BA5" s="550"/>
      <c r="BB5" s="550"/>
      <c r="BC5" s="551"/>
      <c r="BD5" s="609"/>
      <c r="BE5" s="520"/>
      <c r="BF5" s="609"/>
    </row>
    <row r="6" s="521" customFormat="1" ht="36" hidden="1" customHeight="1" spans="1:58">
      <c r="A6" s="612">
        <f t="shared" ref="A6:A11" si="0">ROW()-4</f>
        <v>2</v>
      </c>
      <c r="B6" s="48" t="s">
        <v>2580</v>
      </c>
      <c r="C6" s="49" t="s">
        <v>124</v>
      </c>
      <c r="D6" s="51" t="s">
        <v>1860</v>
      </c>
      <c r="E6" s="51"/>
      <c r="F6" s="52"/>
      <c r="G6" s="56"/>
      <c r="H6" s="56"/>
      <c r="I6" s="614"/>
      <c r="J6" s="615">
        <f t="shared" ref="J6:J60" si="1">SUM(L6:AQ6)</f>
        <v>96</v>
      </c>
      <c r="K6" s="616">
        <v>24</v>
      </c>
      <c r="L6" s="617"/>
      <c r="M6" s="617"/>
      <c r="N6" s="617"/>
      <c r="O6" s="617"/>
      <c r="P6" s="617"/>
      <c r="Q6" s="617"/>
      <c r="R6" s="617"/>
      <c r="S6" s="617"/>
      <c r="T6" s="617"/>
      <c r="U6" s="617"/>
      <c r="V6" s="617"/>
      <c r="W6" s="617"/>
      <c r="X6" s="617"/>
      <c r="Y6" s="617"/>
      <c r="Z6" s="616">
        <v>16</v>
      </c>
      <c r="AA6" s="616">
        <v>16</v>
      </c>
      <c r="AB6" s="616">
        <v>16</v>
      </c>
      <c r="AC6" s="616">
        <v>16</v>
      </c>
      <c r="AD6" s="616">
        <v>16</v>
      </c>
      <c r="AE6" s="616">
        <v>16</v>
      </c>
      <c r="AF6" s="616"/>
      <c r="AG6" s="616"/>
      <c r="AH6" s="616"/>
      <c r="AI6" s="616"/>
      <c r="AJ6" s="616"/>
      <c r="AK6" s="616"/>
      <c r="AL6" s="616"/>
      <c r="AM6" s="616"/>
      <c r="AN6" s="616"/>
      <c r="AO6" s="616"/>
      <c r="AP6" s="616"/>
      <c r="AQ6" s="616"/>
      <c r="AR6" s="613" t="s">
        <v>3273</v>
      </c>
      <c r="AS6" s="613"/>
      <c r="AT6" s="613"/>
      <c r="AU6" s="613"/>
      <c r="AV6" s="613"/>
      <c r="AW6" s="613" t="s">
        <v>2258</v>
      </c>
      <c r="AX6" s="613" t="s">
        <v>3274</v>
      </c>
      <c r="AY6" s="619">
        <v>45978</v>
      </c>
      <c r="AZ6" s="623"/>
      <c r="BA6" s="621"/>
      <c r="BB6" s="620">
        <v>46035</v>
      </c>
      <c r="BC6" s="622"/>
      <c r="BD6" s="660"/>
      <c r="BF6" s="521">
        <f t="shared" ref="BF6:BF11" si="2">J6/2</f>
        <v>48</v>
      </c>
    </row>
    <row r="7" s="521" customFormat="1" ht="36" hidden="1" customHeight="1" spans="1:58">
      <c r="A7" s="612">
        <f t="shared" si="0"/>
        <v>3</v>
      </c>
      <c r="B7" s="48" t="s">
        <v>2580</v>
      </c>
      <c r="C7" s="49" t="s">
        <v>124</v>
      </c>
      <c r="D7" s="51" t="s">
        <v>3275</v>
      </c>
      <c r="E7" s="51"/>
      <c r="F7" s="52">
        <v>45909</v>
      </c>
      <c r="G7" s="56">
        <v>45992</v>
      </c>
      <c r="H7" s="56">
        <v>45992</v>
      </c>
      <c r="I7" s="614">
        <v>45961</v>
      </c>
      <c r="J7" s="615">
        <f t="shared" si="1"/>
        <v>29160</v>
      </c>
      <c r="K7" s="616">
        <v>24</v>
      </c>
      <c r="L7" s="617"/>
      <c r="M7" s="617"/>
      <c r="N7" s="617"/>
      <c r="O7" s="617"/>
      <c r="P7" s="617"/>
      <c r="Q7" s="617"/>
      <c r="R7" s="617"/>
      <c r="S7" s="617"/>
      <c r="T7" s="617"/>
      <c r="U7" s="617"/>
      <c r="V7" s="617"/>
      <c r="W7" s="617"/>
      <c r="X7" s="617"/>
      <c r="Y7" s="617"/>
      <c r="Z7" s="616">
        <v>4860</v>
      </c>
      <c r="AA7" s="616">
        <v>4860</v>
      </c>
      <c r="AB7" s="616">
        <v>4860</v>
      </c>
      <c r="AC7" s="616">
        <v>4860</v>
      </c>
      <c r="AD7" s="616">
        <v>4860</v>
      </c>
      <c r="AE7" s="616">
        <v>4860</v>
      </c>
      <c r="AF7" s="616"/>
      <c r="AG7" s="616"/>
      <c r="AH7" s="616"/>
      <c r="AI7" s="616"/>
      <c r="AJ7" s="616"/>
      <c r="AK7" s="616"/>
      <c r="AL7" s="616"/>
      <c r="AM7" s="616"/>
      <c r="AN7" s="616"/>
      <c r="AO7" s="616"/>
      <c r="AP7" s="616"/>
      <c r="AQ7" s="616"/>
      <c r="AR7" s="613" t="s">
        <v>3273</v>
      </c>
      <c r="AS7" s="613" t="s">
        <v>3276</v>
      </c>
      <c r="AT7" s="613" t="s">
        <v>3277</v>
      </c>
      <c r="AU7" s="613" t="s">
        <v>3276</v>
      </c>
      <c r="AV7" s="613" t="s">
        <v>316</v>
      </c>
      <c r="AW7" s="613" t="s">
        <v>2258</v>
      </c>
      <c r="AX7" s="613" t="s">
        <v>3274</v>
      </c>
      <c r="AY7" s="619">
        <v>45990</v>
      </c>
      <c r="AZ7" s="623">
        <v>45988</v>
      </c>
      <c r="BA7" s="621" t="s">
        <v>3278</v>
      </c>
      <c r="BB7" s="620">
        <v>46027</v>
      </c>
      <c r="BC7" s="622" t="s">
        <v>3279</v>
      </c>
      <c r="BD7" s="660" t="s">
        <v>3280</v>
      </c>
      <c r="BF7" s="521">
        <f t="shared" si="2"/>
        <v>14580</v>
      </c>
    </row>
    <row r="8" s="521" customFormat="1" ht="36" hidden="1" customHeight="1" spans="1:58">
      <c r="A8" s="612">
        <f t="shared" si="0"/>
        <v>4</v>
      </c>
      <c r="B8" s="48" t="s">
        <v>2580</v>
      </c>
      <c r="C8" s="49" t="s">
        <v>124</v>
      </c>
      <c r="D8" s="51" t="s">
        <v>3281</v>
      </c>
      <c r="E8" s="51"/>
      <c r="F8" s="52">
        <v>45909</v>
      </c>
      <c r="G8" s="56">
        <v>45992</v>
      </c>
      <c r="H8" s="56">
        <v>45992</v>
      </c>
      <c r="I8" s="614">
        <v>45961</v>
      </c>
      <c r="J8" s="615">
        <f t="shared" si="1"/>
        <v>151248</v>
      </c>
      <c r="K8" s="616">
        <v>24</v>
      </c>
      <c r="L8" s="617"/>
      <c r="M8" s="617"/>
      <c r="N8" s="617"/>
      <c r="O8" s="617"/>
      <c r="P8" s="617"/>
      <c r="Q8" s="617"/>
      <c r="R8" s="617"/>
      <c r="S8" s="617"/>
      <c r="T8" s="617"/>
      <c r="U8" s="617"/>
      <c r="V8" s="617"/>
      <c r="W8" s="617"/>
      <c r="X8" s="617"/>
      <c r="Y8" s="617"/>
      <c r="Z8" s="616">
        <v>25208</v>
      </c>
      <c r="AA8" s="616">
        <v>25208</v>
      </c>
      <c r="AB8" s="616">
        <v>25208</v>
      </c>
      <c r="AC8" s="616">
        <v>25208</v>
      </c>
      <c r="AD8" s="616">
        <v>25208</v>
      </c>
      <c r="AE8" s="616">
        <v>25208</v>
      </c>
      <c r="AF8" s="616"/>
      <c r="AG8" s="616"/>
      <c r="AH8" s="616"/>
      <c r="AI8" s="616"/>
      <c r="AJ8" s="616"/>
      <c r="AK8" s="616"/>
      <c r="AL8" s="616"/>
      <c r="AM8" s="616"/>
      <c r="AN8" s="616"/>
      <c r="AO8" s="616"/>
      <c r="AP8" s="616"/>
      <c r="AQ8" s="616"/>
      <c r="AR8" s="613" t="s">
        <v>3273</v>
      </c>
      <c r="AS8" s="613" t="s">
        <v>3276</v>
      </c>
      <c r="AT8" s="613" t="s">
        <v>3277</v>
      </c>
      <c r="AU8" s="613" t="s">
        <v>3276</v>
      </c>
      <c r="AV8" s="613" t="s">
        <v>316</v>
      </c>
      <c r="AW8" s="613" t="s">
        <v>2258</v>
      </c>
      <c r="AX8" s="613" t="s">
        <v>3274</v>
      </c>
      <c r="AY8" s="619">
        <v>45990</v>
      </c>
      <c r="AZ8" s="623">
        <v>45988</v>
      </c>
      <c r="BA8" s="621"/>
      <c r="BB8" s="620">
        <v>46027</v>
      </c>
      <c r="BC8" s="622" t="s">
        <v>3282</v>
      </c>
      <c r="BD8" s="660" t="s">
        <v>3280</v>
      </c>
      <c r="BF8" s="521">
        <f t="shared" si="2"/>
        <v>75624</v>
      </c>
    </row>
    <row r="9" s="521" customFormat="1" ht="36" hidden="1" customHeight="1" spans="1:58">
      <c r="A9" s="612">
        <f t="shared" si="0"/>
        <v>5</v>
      </c>
      <c r="B9" s="48" t="s">
        <v>2580</v>
      </c>
      <c r="C9" s="49" t="s">
        <v>124</v>
      </c>
      <c r="D9" s="51" t="s">
        <v>3283</v>
      </c>
      <c r="E9" s="51"/>
      <c r="F9" s="52">
        <v>45909</v>
      </c>
      <c r="G9" s="56">
        <v>46034</v>
      </c>
      <c r="H9" s="56">
        <v>46034</v>
      </c>
      <c r="I9" s="614">
        <v>46000</v>
      </c>
      <c r="J9" s="615">
        <f t="shared" si="1"/>
        <v>151248</v>
      </c>
      <c r="K9" s="616">
        <v>24</v>
      </c>
      <c r="L9" s="617"/>
      <c r="M9" s="617"/>
      <c r="N9" s="617"/>
      <c r="O9" s="617"/>
      <c r="P9" s="617"/>
      <c r="Q9" s="617"/>
      <c r="R9" s="617"/>
      <c r="S9" s="617"/>
      <c r="T9" s="617"/>
      <c r="U9" s="617"/>
      <c r="V9" s="617"/>
      <c r="W9" s="617"/>
      <c r="X9" s="617"/>
      <c r="Y9" s="617"/>
      <c r="Z9" s="616"/>
      <c r="AA9" s="616"/>
      <c r="AB9" s="616"/>
      <c r="AC9" s="616"/>
      <c r="AD9" s="616"/>
      <c r="AE9" s="616"/>
      <c r="AF9" s="616">
        <v>25208</v>
      </c>
      <c r="AG9" s="616">
        <v>25208</v>
      </c>
      <c r="AH9" s="616">
        <v>25208</v>
      </c>
      <c r="AI9" s="616">
        <v>25208</v>
      </c>
      <c r="AJ9" s="616">
        <v>25208</v>
      </c>
      <c r="AK9" s="616">
        <v>25208</v>
      </c>
      <c r="AL9" s="616"/>
      <c r="AM9" s="616"/>
      <c r="AN9" s="616"/>
      <c r="AO9" s="616"/>
      <c r="AP9" s="616"/>
      <c r="AQ9" s="616"/>
      <c r="AR9" s="613" t="s">
        <v>3284</v>
      </c>
      <c r="AS9" s="632" t="s">
        <v>3285</v>
      </c>
      <c r="AT9" s="632" t="s">
        <v>3285</v>
      </c>
      <c r="AU9" s="632" t="s">
        <v>3285</v>
      </c>
      <c r="AV9" s="613" t="s">
        <v>3286</v>
      </c>
      <c r="AW9" s="613" t="s">
        <v>1689</v>
      </c>
      <c r="AX9" s="613" t="s">
        <v>3287</v>
      </c>
      <c r="AY9" s="619">
        <v>46032</v>
      </c>
      <c r="AZ9" s="620">
        <v>46038</v>
      </c>
      <c r="BA9" s="621"/>
      <c r="BB9" s="620" t="s">
        <v>3288</v>
      </c>
      <c r="BC9" s="622" t="s">
        <v>3289</v>
      </c>
      <c r="BD9" s="660" t="s">
        <v>3290</v>
      </c>
      <c r="BF9" s="521">
        <f t="shared" si="2"/>
        <v>75624</v>
      </c>
    </row>
    <row r="10" s="521" customFormat="1" ht="36" hidden="1" customHeight="1" spans="1:58">
      <c r="A10" s="612">
        <f t="shared" si="0"/>
        <v>6</v>
      </c>
      <c r="B10" s="48" t="s">
        <v>3204</v>
      </c>
      <c r="C10" s="49" t="s">
        <v>101</v>
      </c>
      <c r="D10" s="51" t="s">
        <v>3291</v>
      </c>
      <c r="E10" s="51"/>
      <c r="F10" s="52">
        <v>45987</v>
      </c>
      <c r="G10" s="56">
        <v>46044</v>
      </c>
      <c r="H10" s="56">
        <v>46044</v>
      </c>
      <c r="I10" s="614">
        <v>45999</v>
      </c>
      <c r="J10" s="615">
        <f t="shared" si="1"/>
        <v>80016</v>
      </c>
      <c r="K10" s="616">
        <v>48</v>
      </c>
      <c r="L10" s="617"/>
      <c r="M10" s="617"/>
      <c r="N10" s="617"/>
      <c r="O10" s="617"/>
      <c r="P10" s="617"/>
      <c r="Q10" s="617"/>
      <c r="R10" s="617"/>
      <c r="S10" s="617"/>
      <c r="T10" s="617"/>
      <c r="U10" s="617"/>
      <c r="V10" s="616">
        <v>20004</v>
      </c>
      <c r="W10" s="616">
        <v>20004</v>
      </c>
      <c r="X10" s="616">
        <v>20004</v>
      </c>
      <c r="Y10" s="616">
        <v>20004</v>
      </c>
      <c r="Z10" s="616"/>
      <c r="AA10" s="616"/>
      <c r="AB10" s="616"/>
      <c r="AC10" s="616"/>
      <c r="AD10" s="616"/>
      <c r="AE10" s="616"/>
      <c r="AF10" s="616"/>
      <c r="AG10" s="616"/>
      <c r="AH10" s="616"/>
      <c r="AI10" s="616"/>
      <c r="AJ10" s="616"/>
      <c r="AK10" s="616"/>
      <c r="AL10" s="616"/>
      <c r="AM10" s="616"/>
      <c r="AN10" s="616"/>
      <c r="AO10" s="616"/>
      <c r="AP10" s="616"/>
      <c r="AQ10" s="616"/>
      <c r="AR10" s="613" t="s">
        <v>3292</v>
      </c>
      <c r="AS10" s="632" t="s">
        <v>3293</v>
      </c>
      <c r="AT10" s="632" t="s">
        <v>84</v>
      </c>
      <c r="AU10" s="632" t="s">
        <v>3293</v>
      </c>
      <c r="AV10" s="613" t="s">
        <v>673</v>
      </c>
      <c r="AW10" s="613" t="s">
        <v>195</v>
      </c>
      <c r="AX10" s="613" t="s">
        <v>3294</v>
      </c>
      <c r="AY10" s="619">
        <v>46042</v>
      </c>
      <c r="AZ10" s="620">
        <v>46044</v>
      </c>
      <c r="BA10" s="621"/>
      <c r="BB10" s="620">
        <v>46048</v>
      </c>
      <c r="BC10" s="622" t="s">
        <v>3295</v>
      </c>
      <c r="BD10" s="660" t="s">
        <v>3296</v>
      </c>
      <c r="BF10" s="521">
        <f t="shared" si="2"/>
        <v>40008</v>
      </c>
    </row>
    <row r="11" s="521" customFormat="1" ht="36" hidden="1" customHeight="1" spans="1:58">
      <c r="A11" s="612">
        <f t="shared" si="0"/>
        <v>7</v>
      </c>
      <c r="B11" s="48" t="s">
        <v>2580</v>
      </c>
      <c r="C11" s="49" t="s">
        <v>124</v>
      </c>
      <c r="D11" s="51" t="s">
        <v>3297</v>
      </c>
      <c r="E11" s="51" t="s">
        <v>3298</v>
      </c>
      <c r="F11" s="52">
        <v>45909</v>
      </c>
      <c r="G11" s="56">
        <v>46083</v>
      </c>
      <c r="H11" s="56">
        <v>46083</v>
      </c>
      <c r="I11" s="614">
        <v>46038</v>
      </c>
      <c r="J11" s="615">
        <f t="shared" si="1"/>
        <v>100824</v>
      </c>
      <c r="K11" s="616">
        <v>24</v>
      </c>
      <c r="L11" s="617"/>
      <c r="M11" s="617"/>
      <c r="N11" s="617"/>
      <c r="O11" s="617"/>
      <c r="P11" s="617"/>
      <c r="Q11" s="617"/>
      <c r="R11" s="617"/>
      <c r="S11" s="617"/>
      <c r="T11" s="617"/>
      <c r="U11" s="617"/>
      <c r="V11" s="617"/>
      <c r="W11" s="617"/>
      <c r="X11" s="617"/>
      <c r="Y11" s="617"/>
      <c r="Z11" s="616"/>
      <c r="AA11" s="616"/>
      <c r="AB11" s="616"/>
      <c r="AC11" s="616"/>
      <c r="AD11" s="616"/>
      <c r="AE11" s="616"/>
      <c r="AF11" s="616"/>
      <c r="AG11" s="616"/>
      <c r="AH11" s="616"/>
      <c r="AI11" s="616"/>
      <c r="AJ11" s="616"/>
      <c r="AK11" s="616"/>
      <c r="AL11" s="616">
        <v>16804</v>
      </c>
      <c r="AM11" s="616">
        <v>16804</v>
      </c>
      <c r="AN11" s="616">
        <v>16804</v>
      </c>
      <c r="AO11" s="616">
        <v>16804</v>
      </c>
      <c r="AP11" s="616">
        <v>16804</v>
      </c>
      <c r="AQ11" s="616">
        <v>16804</v>
      </c>
      <c r="AR11" s="613" t="s">
        <v>3299</v>
      </c>
      <c r="AS11" s="613" t="s">
        <v>3300</v>
      </c>
      <c r="AT11" s="613" t="s">
        <v>3213</v>
      </c>
      <c r="AU11" s="613" t="s">
        <v>3300</v>
      </c>
      <c r="AV11" s="613" t="s">
        <v>3301</v>
      </c>
      <c r="AW11" s="613" t="s">
        <v>3302</v>
      </c>
      <c r="AX11" s="613" t="s">
        <v>3287</v>
      </c>
      <c r="AY11" s="619">
        <v>46080</v>
      </c>
      <c r="AZ11" s="620">
        <v>46058</v>
      </c>
      <c r="BA11" s="621" t="s">
        <v>3303</v>
      </c>
      <c r="BB11" s="620">
        <v>46105</v>
      </c>
      <c r="BC11" s="622" t="s">
        <v>3304</v>
      </c>
      <c r="BD11" s="660" t="s">
        <v>3305</v>
      </c>
      <c r="BF11" s="521">
        <f t="shared" si="2"/>
        <v>50412</v>
      </c>
    </row>
    <row r="12" s="521" customFormat="1" ht="36" hidden="1" customHeight="1" spans="1:58">
      <c r="A12" s="612">
        <f t="shared" ref="A12:A21" si="3">ROW()-4</f>
        <v>8</v>
      </c>
      <c r="B12" s="48" t="s">
        <v>209</v>
      </c>
      <c r="C12" s="49" t="s">
        <v>3306</v>
      </c>
      <c r="D12" s="51" t="s">
        <v>3307</v>
      </c>
      <c r="E12" s="51" t="s">
        <v>3308</v>
      </c>
      <c r="F12" s="52">
        <v>46035</v>
      </c>
      <c r="G12" s="56">
        <v>46088</v>
      </c>
      <c r="H12" s="56">
        <v>46088</v>
      </c>
      <c r="I12" s="614">
        <v>46037</v>
      </c>
      <c r="J12" s="615">
        <f t="shared" si="1"/>
        <v>10800</v>
      </c>
      <c r="K12" s="616">
        <v>24</v>
      </c>
      <c r="L12" s="617"/>
      <c r="M12" s="617"/>
      <c r="N12" s="617"/>
      <c r="O12" s="617"/>
      <c r="P12" s="617"/>
      <c r="Q12" s="617"/>
      <c r="R12" s="617"/>
      <c r="S12" s="617"/>
      <c r="T12" s="617"/>
      <c r="U12" s="617"/>
      <c r="V12" s="617"/>
      <c r="W12" s="617"/>
      <c r="X12" s="617"/>
      <c r="Y12" s="617"/>
      <c r="Z12" s="616"/>
      <c r="AA12" s="616"/>
      <c r="AB12" s="616"/>
      <c r="AC12" s="616"/>
      <c r="AD12" s="616"/>
      <c r="AE12" s="616"/>
      <c r="AF12" s="616">
        <v>1800</v>
      </c>
      <c r="AG12" s="616">
        <v>1800</v>
      </c>
      <c r="AH12" s="616">
        <v>1800</v>
      </c>
      <c r="AI12" s="616">
        <v>1800</v>
      </c>
      <c r="AJ12" s="616">
        <v>1800</v>
      </c>
      <c r="AK12" s="616">
        <v>1800</v>
      </c>
      <c r="AL12" s="616"/>
      <c r="AM12" s="616"/>
      <c r="AN12" s="616"/>
      <c r="AO12" s="616"/>
      <c r="AP12" s="616"/>
      <c r="AQ12" s="616"/>
      <c r="AR12" s="613" t="s">
        <v>3309</v>
      </c>
      <c r="AS12" s="613" t="s">
        <v>3310</v>
      </c>
      <c r="AT12" s="613" t="s">
        <v>3311</v>
      </c>
      <c r="AU12" s="613" t="s">
        <v>3310</v>
      </c>
      <c r="AV12" s="613" t="s">
        <v>1036</v>
      </c>
      <c r="AW12" s="613" t="s">
        <v>824</v>
      </c>
      <c r="AX12" s="613" t="s">
        <v>3312</v>
      </c>
      <c r="AY12" s="619">
        <v>46086</v>
      </c>
      <c r="AZ12" s="620">
        <v>46085</v>
      </c>
      <c r="BA12" s="613"/>
      <c r="BB12" s="620">
        <v>46108</v>
      </c>
      <c r="BC12" s="1292" t="s">
        <v>3313</v>
      </c>
      <c r="BD12" s="660" t="s">
        <v>3314</v>
      </c>
      <c r="BF12" s="521">
        <f t="shared" ref="BF12:BF31" si="4">J12/2</f>
        <v>5400</v>
      </c>
    </row>
    <row r="13" s="521" customFormat="1" ht="36" hidden="1" customHeight="1" spans="1:58">
      <c r="A13" s="612">
        <f t="shared" si="3"/>
        <v>9</v>
      </c>
      <c r="B13" s="48" t="s">
        <v>209</v>
      </c>
      <c r="C13" s="49" t="s">
        <v>3306</v>
      </c>
      <c r="D13" s="51" t="s">
        <v>3315</v>
      </c>
      <c r="E13" s="51" t="s">
        <v>3308</v>
      </c>
      <c r="F13" s="52">
        <v>46035</v>
      </c>
      <c r="G13" s="56">
        <v>46088</v>
      </c>
      <c r="H13" s="56">
        <v>46088</v>
      </c>
      <c r="I13" s="614">
        <v>46037</v>
      </c>
      <c r="J13" s="615">
        <f t="shared" si="1"/>
        <v>4320</v>
      </c>
      <c r="K13" s="616">
        <v>24</v>
      </c>
      <c r="L13" s="617"/>
      <c r="M13" s="617"/>
      <c r="N13" s="617"/>
      <c r="O13" s="617"/>
      <c r="P13" s="617"/>
      <c r="Q13" s="617"/>
      <c r="R13" s="617"/>
      <c r="S13" s="617"/>
      <c r="T13" s="617"/>
      <c r="U13" s="617"/>
      <c r="V13" s="617"/>
      <c r="W13" s="617"/>
      <c r="X13" s="617"/>
      <c r="Y13" s="617"/>
      <c r="Z13" s="616"/>
      <c r="AA13" s="616"/>
      <c r="AB13" s="616"/>
      <c r="AC13" s="616"/>
      <c r="AD13" s="616"/>
      <c r="AE13" s="616"/>
      <c r="AF13" s="616">
        <v>720</v>
      </c>
      <c r="AG13" s="616">
        <v>720</v>
      </c>
      <c r="AH13" s="616">
        <v>720</v>
      </c>
      <c r="AI13" s="616">
        <v>720</v>
      </c>
      <c r="AJ13" s="616">
        <v>720</v>
      </c>
      <c r="AK13" s="616">
        <v>720</v>
      </c>
      <c r="AL13" s="616"/>
      <c r="AM13" s="616"/>
      <c r="AN13" s="616"/>
      <c r="AO13" s="616"/>
      <c r="AP13" s="616"/>
      <c r="AQ13" s="616"/>
      <c r="AR13" s="613" t="s">
        <v>3309</v>
      </c>
      <c r="AS13" s="613" t="s">
        <v>3310</v>
      </c>
      <c r="AT13" s="613" t="s">
        <v>3311</v>
      </c>
      <c r="AU13" s="613" t="s">
        <v>3310</v>
      </c>
      <c r="AV13" s="613" t="s">
        <v>1036</v>
      </c>
      <c r="AW13" s="613" t="s">
        <v>824</v>
      </c>
      <c r="AX13" s="613" t="s">
        <v>3312</v>
      </c>
      <c r="AY13" s="619">
        <v>46086</v>
      </c>
      <c r="AZ13" s="620">
        <v>46085</v>
      </c>
      <c r="BA13" s="613"/>
      <c r="BB13" s="620">
        <v>46097</v>
      </c>
      <c r="BC13" s="1292" t="s">
        <v>3316</v>
      </c>
      <c r="BD13" s="660" t="s">
        <v>3314</v>
      </c>
      <c r="BF13" s="521">
        <f t="shared" si="4"/>
        <v>2160</v>
      </c>
    </row>
    <row r="14" s="521" customFormat="1" ht="36" hidden="1" customHeight="1" spans="1:58">
      <c r="A14" s="612">
        <f t="shared" si="3"/>
        <v>10</v>
      </c>
      <c r="B14" s="48" t="s">
        <v>209</v>
      </c>
      <c r="C14" s="49" t="s">
        <v>3306</v>
      </c>
      <c r="D14" s="51" t="s">
        <v>3317</v>
      </c>
      <c r="E14" s="51" t="s">
        <v>3308</v>
      </c>
      <c r="F14" s="52">
        <v>46035</v>
      </c>
      <c r="G14" s="56">
        <v>46088</v>
      </c>
      <c r="H14" s="56">
        <v>46088</v>
      </c>
      <c r="I14" s="614">
        <v>46037</v>
      </c>
      <c r="J14" s="615">
        <f t="shared" si="1"/>
        <v>30240</v>
      </c>
      <c r="K14" s="616">
        <v>24</v>
      </c>
      <c r="L14" s="617"/>
      <c r="M14" s="617"/>
      <c r="N14" s="617"/>
      <c r="O14" s="617"/>
      <c r="P14" s="617"/>
      <c r="Q14" s="617"/>
      <c r="R14" s="617"/>
      <c r="S14" s="617"/>
      <c r="T14" s="617"/>
      <c r="U14" s="617"/>
      <c r="V14" s="617"/>
      <c r="W14" s="617"/>
      <c r="X14" s="617"/>
      <c r="Y14" s="617"/>
      <c r="Z14" s="616"/>
      <c r="AA14" s="616"/>
      <c r="AB14" s="616"/>
      <c r="AC14" s="616"/>
      <c r="AD14" s="616"/>
      <c r="AE14" s="616"/>
      <c r="AF14" s="616">
        <v>5040</v>
      </c>
      <c r="AG14" s="616">
        <v>5040</v>
      </c>
      <c r="AH14" s="616">
        <v>5040</v>
      </c>
      <c r="AI14" s="616">
        <v>5040</v>
      </c>
      <c r="AJ14" s="616">
        <v>5040</v>
      </c>
      <c r="AK14" s="616">
        <v>5040</v>
      </c>
      <c r="AL14" s="616"/>
      <c r="AM14" s="616"/>
      <c r="AN14" s="616"/>
      <c r="AO14" s="616"/>
      <c r="AP14" s="616"/>
      <c r="AQ14" s="616"/>
      <c r="AR14" s="613" t="s">
        <v>3309</v>
      </c>
      <c r="AS14" s="613" t="s">
        <v>3310</v>
      </c>
      <c r="AT14" s="613" t="s">
        <v>3311</v>
      </c>
      <c r="AU14" s="613" t="s">
        <v>3310</v>
      </c>
      <c r="AV14" s="613" t="s">
        <v>1036</v>
      </c>
      <c r="AW14" s="613" t="s">
        <v>824</v>
      </c>
      <c r="AX14" s="613" t="s">
        <v>3312</v>
      </c>
      <c r="AY14" s="619">
        <v>46086</v>
      </c>
      <c r="AZ14" s="620">
        <v>46085</v>
      </c>
      <c r="BA14" s="613"/>
      <c r="BB14" s="620">
        <v>46104</v>
      </c>
      <c r="BC14" s="1292" t="s">
        <v>3318</v>
      </c>
      <c r="BD14" s="660" t="s">
        <v>3314</v>
      </c>
      <c r="BF14" s="521">
        <f t="shared" si="4"/>
        <v>15120</v>
      </c>
    </row>
    <row r="15" s="521" customFormat="1" ht="36" hidden="1" customHeight="1" spans="1:58">
      <c r="A15" s="612">
        <f t="shared" si="3"/>
        <v>11</v>
      </c>
      <c r="B15" s="48" t="s">
        <v>209</v>
      </c>
      <c r="C15" s="49" t="s">
        <v>3306</v>
      </c>
      <c r="D15" s="51" t="s">
        <v>3319</v>
      </c>
      <c r="E15" s="51" t="s">
        <v>3308</v>
      </c>
      <c r="F15" s="52">
        <v>46035</v>
      </c>
      <c r="G15" s="56">
        <v>46088</v>
      </c>
      <c r="H15" s="56">
        <v>46088</v>
      </c>
      <c r="I15" s="614">
        <v>46037</v>
      </c>
      <c r="J15" s="615">
        <f t="shared" si="1"/>
        <v>8640</v>
      </c>
      <c r="K15" s="616">
        <v>24</v>
      </c>
      <c r="L15" s="617"/>
      <c r="M15" s="617"/>
      <c r="N15" s="617"/>
      <c r="O15" s="617"/>
      <c r="P15" s="617"/>
      <c r="Q15" s="617"/>
      <c r="R15" s="617"/>
      <c r="S15" s="617"/>
      <c r="T15" s="617"/>
      <c r="U15" s="617"/>
      <c r="V15" s="617"/>
      <c r="W15" s="617"/>
      <c r="X15" s="617"/>
      <c r="Y15" s="617"/>
      <c r="Z15" s="616"/>
      <c r="AA15" s="616"/>
      <c r="AB15" s="616"/>
      <c r="AC15" s="616"/>
      <c r="AD15" s="616"/>
      <c r="AE15" s="616"/>
      <c r="AF15" s="616">
        <v>1440</v>
      </c>
      <c r="AG15" s="616">
        <v>1440</v>
      </c>
      <c r="AH15" s="616">
        <v>1440</v>
      </c>
      <c r="AI15" s="616">
        <v>1440</v>
      </c>
      <c r="AJ15" s="616">
        <v>1440</v>
      </c>
      <c r="AK15" s="616">
        <v>1440</v>
      </c>
      <c r="AL15" s="616"/>
      <c r="AM15" s="616"/>
      <c r="AN15" s="616"/>
      <c r="AO15" s="616"/>
      <c r="AP15" s="616"/>
      <c r="AQ15" s="616"/>
      <c r="AR15" s="613" t="s">
        <v>3309</v>
      </c>
      <c r="AS15" s="613" t="s">
        <v>3310</v>
      </c>
      <c r="AT15" s="613" t="s">
        <v>3311</v>
      </c>
      <c r="AU15" s="613" t="s">
        <v>3310</v>
      </c>
      <c r="AV15" s="613" t="s">
        <v>1036</v>
      </c>
      <c r="AW15" s="613" t="s">
        <v>824</v>
      </c>
      <c r="AX15" s="613" t="s">
        <v>3312</v>
      </c>
      <c r="AY15" s="619">
        <v>46086</v>
      </c>
      <c r="AZ15" s="620">
        <v>46085</v>
      </c>
      <c r="BA15" s="613"/>
      <c r="BB15" s="620">
        <v>46097</v>
      </c>
      <c r="BC15" s="1292" t="s">
        <v>3320</v>
      </c>
      <c r="BD15" s="660" t="s">
        <v>3314</v>
      </c>
      <c r="BF15" s="521">
        <f t="shared" si="4"/>
        <v>4320</v>
      </c>
    </row>
    <row r="16" s="521" customFormat="1" ht="36" hidden="1" customHeight="1" spans="1:58">
      <c r="A16" s="612">
        <f t="shared" si="3"/>
        <v>12</v>
      </c>
      <c r="B16" s="48" t="s">
        <v>209</v>
      </c>
      <c r="C16" s="49" t="s">
        <v>3306</v>
      </c>
      <c r="D16" s="51" t="s">
        <v>3321</v>
      </c>
      <c r="E16" s="51" t="s">
        <v>3308</v>
      </c>
      <c r="F16" s="52">
        <v>46035</v>
      </c>
      <c r="G16" s="56">
        <v>46088</v>
      </c>
      <c r="H16" s="56">
        <v>46088</v>
      </c>
      <c r="I16" s="614">
        <v>46037</v>
      </c>
      <c r="J16" s="615">
        <f t="shared" si="1"/>
        <v>17280</v>
      </c>
      <c r="K16" s="616">
        <v>24</v>
      </c>
      <c r="L16" s="617"/>
      <c r="M16" s="617"/>
      <c r="N16" s="617"/>
      <c r="O16" s="617"/>
      <c r="P16" s="617"/>
      <c r="Q16" s="617"/>
      <c r="R16" s="617"/>
      <c r="S16" s="617"/>
      <c r="T16" s="617"/>
      <c r="U16" s="617"/>
      <c r="V16" s="617"/>
      <c r="W16" s="617"/>
      <c r="X16" s="617"/>
      <c r="Y16" s="617"/>
      <c r="Z16" s="616"/>
      <c r="AA16" s="616"/>
      <c r="AB16" s="616"/>
      <c r="AC16" s="616"/>
      <c r="AD16" s="616"/>
      <c r="AE16" s="616"/>
      <c r="AF16" s="616">
        <v>2880</v>
      </c>
      <c r="AG16" s="616">
        <v>2880</v>
      </c>
      <c r="AH16" s="616">
        <v>2880</v>
      </c>
      <c r="AI16" s="616">
        <v>2880</v>
      </c>
      <c r="AJ16" s="616">
        <v>2880</v>
      </c>
      <c r="AK16" s="616">
        <v>2880</v>
      </c>
      <c r="AL16" s="616"/>
      <c r="AM16" s="616"/>
      <c r="AN16" s="616"/>
      <c r="AO16" s="616"/>
      <c r="AP16" s="616"/>
      <c r="AQ16" s="616"/>
      <c r="AR16" s="613" t="s">
        <v>3309</v>
      </c>
      <c r="AS16" s="613" t="s">
        <v>3310</v>
      </c>
      <c r="AT16" s="613" t="s">
        <v>3311</v>
      </c>
      <c r="AU16" s="613" t="s">
        <v>3310</v>
      </c>
      <c r="AV16" s="613" t="s">
        <v>1036</v>
      </c>
      <c r="AW16" s="613" t="s">
        <v>824</v>
      </c>
      <c r="AX16" s="613" t="s">
        <v>3312</v>
      </c>
      <c r="AY16" s="619">
        <v>46086</v>
      </c>
      <c r="AZ16" s="620">
        <v>46085</v>
      </c>
      <c r="BA16" s="613"/>
      <c r="BB16" s="620">
        <v>46097</v>
      </c>
      <c r="BC16" s="1292" t="s">
        <v>3322</v>
      </c>
      <c r="BD16" s="660" t="s">
        <v>3314</v>
      </c>
      <c r="BF16" s="521">
        <f t="shared" si="4"/>
        <v>8640</v>
      </c>
    </row>
    <row r="17" s="521" customFormat="1" ht="36" hidden="1" customHeight="1" spans="1:58">
      <c r="A17" s="612">
        <f t="shared" si="3"/>
        <v>13</v>
      </c>
      <c r="B17" s="48" t="s">
        <v>209</v>
      </c>
      <c r="C17" s="49" t="s">
        <v>3306</v>
      </c>
      <c r="D17" s="51" t="s">
        <v>3323</v>
      </c>
      <c r="E17" s="51" t="s">
        <v>3308</v>
      </c>
      <c r="F17" s="52">
        <v>46035</v>
      </c>
      <c r="G17" s="56">
        <v>46088</v>
      </c>
      <c r="H17" s="56">
        <v>46088</v>
      </c>
      <c r="I17" s="614">
        <v>46037</v>
      </c>
      <c r="J17" s="615">
        <f t="shared" si="1"/>
        <v>17280</v>
      </c>
      <c r="K17" s="616">
        <v>24</v>
      </c>
      <c r="L17" s="617"/>
      <c r="M17" s="617"/>
      <c r="N17" s="617"/>
      <c r="O17" s="617"/>
      <c r="P17" s="617"/>
      <c r="Q17" s="617"/>
      <c r="R17" s="617"/>
      <c r="S17" s="617"/>
      <c r="T17" s="617"/>
      <c r="U17" s="617"/>
      <c r="V17" s="617"/>
      <c r="W17" s="617"/>
      <c r="X17" s="617"/>
      <c r="Y17" s="617"/>
      <c r="Z17" s="616"/>
      <c r="AA17" s="616"/>
      <c r="AB17" s="616"/>
      <c r="AC17" s="616"/>
      <c r="AD17" s="616"/>
      <c r="AE17" s="616"/>
      <c r="AF17" s="616">
        <v>2880</v>
      </c>
      <c r="AG17" s="616">
        <v>2880</v>
      </c>
      <c r="AH17" s="616">
        <v>2880</v>
      </c>
      <c r="AI17" s="616">
        <v>2880</v>
      </c>
      <c r="AJ17" s="616">
        <v>2880</v>
      </c>
      <c r="AK17" s="616">
        <v>2880</v>
      </c>
      <c r="AL17" s="616"/>
      <c r="AM17" s="616"/>
      <c r="AN17" s="616"/>
      <c r="AO17" s="616"/>
      <c r="AP17" s="616"/>
      <c r="AQ17" s="616"/>
      <c r="AR17" s="613" t="s">
        <v>3309</v>
      </c>
      <c r="AS17" s="613" t="s">
        <v>3310</v>
      </c>
      <c r="AT17" s="613" t="s">
        <v>3311</v>
      </c>
      <c r="AU17" s="613" t="s">
        <v>3310</v>
      </c>
      <c r="AV17" s="613" t="s">
        <v>1036</v>
      </c>
      <c r="AW17" s="613" t="s">
        <v>824</v>
      </c>
      <c r="AX17" s="613" t="s">
        <v>3312</v>
      </c>
      <c r="AY17" s="619">
        <v>46086</v>
      </c>
      <c r="AZ17" s="620">
        <v>46085</v>
      </c>
      <c r="BA17" s="613"/>
      <c r="BB17" s="620">
        <v>46104</v>
      </c>
      <c r="BC17" s="1292" t="s">
        <v>3324</v>
      </c>
      <c r="BD17" s="660" t="s">
        <v>3314</v>
      </c>
      <c r="BF17" s="521">
        <f t="shared" si="4"/>
        <v>8640</v>
      </c>
    </row>
    <row r="18" s="521" customFormat="1" ht="36" hidden="1" customHeight="1" spans="1:58">
      <c r="A18" s="612">
        <f t="shared" si="3"/>
        <v>14</v>
      </c>
      <c r="B18" s="48" t="s">
        <v>209</v>
      </c>
      <c r="C18" s="49" t="s">
        <v>3306</v>
      </c>
      <c r="D18" s="51" t="s">
        <v>3325</v>
      </c>
      <c r="E18" s="51" t="s">
        <v>3308</v>
      </c>
      <c r="F18" s="52">
        <v>46035</v>
      </c>
      <c r="G18" s="56">
        <v>46088</v>
      </c>
      <c r="H18" s="56">
        <v>46088</v>
      </c>
      <c r="I18" s="614">
        <v>46037</v>
      </c>
      <c r="J18" s="615">
        <f t="shared" si="1"/>
        <v>4320</v>
      </c>
      <c r="K18" s="616">
        <v>24</v>
      </c>
      <c r="L18" s="617"/>
      <c r="M18" s="617"/>
      <c r="N18" s="617"/>
      <c r="O18" s="617"/>
      <c r="P18" s="617"/>
      <c r="Q18" s="617"/>
      <c r="R18" s="617"/>
      <c r="S18" s="617"/>
      <c r="T18" s="617"/>
      <c r="U18" s="617"/>
      <c r="V18" s="617"/>
      <c r="W18" s="617"/>
      <c r="X18" s="617"/>
      <c r="Y18" s="617"/>
      <c r="Z18" s="616"/>
      <c r="AA18" s="616"/>
      <c r="AB18" s="616"/>
      <c r="AC18" s="616"/>
      <c r="AD18" s="616"/>
      <c r="AE18" s="616"/>
      <c r="AF18" s="616">
        <v>720</v>
      </c>
      <c r="AG18" s="616">
        <v>720</v>
      </c>
      <c r="AH18" s="616">
        <v>720</v>
      </c>
      <c r="AI18" s="616">
        <v>720</v>
      </c>
      <c r="AJ18" s="616">
        <v>720</v>
      </c>
      <c r="AK18" s="616">
        <v>720</v>
      </c>
      <c r="AL18" s="616"/>
      <c r="AM18" s="616"/>
      <c r="AN18" s="616"/>
      <c r="AO18" s="616"/>
      <c r="AP18" s="616"/>
      <c r="AQ18" s="616"/>
      <c r="AR18" s="613" t="s">
        <v>3309</v>
      </c>
      <c r="AS18" s="613" t="s">
        <v>3310</v>
      </c>
      <c r="AT18" s="613" t="s">
        <v>3311</v>
      </c>
      <c r="AU18" s="613" t="s">
        <v>3310</v>
      </c>
      <c r="AV18" s="613" t="s">
        <v>1036</v>
      </c>
      <c r="AW18" s="613" t="s">
        <v>824</v>
      </c>
      <c r="AX18" s="613" t="s">
        <v>3312</v>
      </c>
      <c r="AY18" s="619">
        <v>46086</v>
      </c>
      <c r="AZ18" s="620">
        <v>46085</v>
      </c>
      <c r="BA18" s="613"/>
      <c r="BB18" s="620">
        <v>46104</v>
      </c>
      <c r="BC18" s="1292" t="s">
        <v>3326</v>
      </c>
      <c r="BD18" s="660" t="s">
        <v>3314</v>
      </c>
      <c r="BF18" s="521">
        <f t="shared" si="4"/>
        <v>2160</v>
      </c>
    </row>
    <row r="19" s="521" customFormat="1" ht="36" hidden="1" customHeight="1" spans="1:58">
      <c r="A19" s="612">
        <f t="shared" si="3"/>
        <v>15</v>
      </c>
      <c r="B19" s="48" t="s">
        <v>209</v>
      </c>
      <c r="C19" s="49" t="s">
        <v>3306</v>
      </c>
      <c r="D19" s="51" t="s">
        <v>3327</v>
      </c>
      <c r="E19" s="51" t="s">
        <v>3308</v>
      </c>
      <c r="F19" s="52">
        <v>46035</v>
      </c>
      <c r="G19" s="56">
        <v>46088</v>
      </c>
      <c r="H19" s="56">
        <v>46088</v>
      </c>
      <c r="I19" s="614">
        <v>46037</v>
      </c>
      <c r="J19" s="615">
        <f t="shared" si="1"/>
        <v>15120</v>
      </c>
      <c r="K19" s="616">
        <v>24</v>
      </c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6"/>
      <c r="AA19" s="616"/>
      <c r="AB19" s="616"/>
      <c r="AC19" s="616"/>
      <c r="AD19" s="616"/>
      <c r="AE19" s="616"/>
      <c r="AF19" s="616">
        <v>2520</v>
      </c>
      <c r="AG19" s="616">
        <v>2520</v>
      </c>
      <c r="AH19" s="616">
        <v>2520</v>
      </c>
      <c r="AI19" s="616">
        <v>2520</v>
      </c>
      <c r="AJ19" s="616">
        <v>2520</v>
      </c>
      <c r="AK19" s="616">
        <v>2520</v>
      </c>
      <c r="AL19" s="616"/>
      <c r="AM19" s="616"/>
      <c r="AN19" s="616"/>
      <c r="AO19" s="616"/>
      <c r="AP19" s="616"/>
      <c r="AQ19" s="616"/>
      <c r="AR19" s="613" t="s">
        <v>3309</v>
      </c>
      <c r="AS19" s="613" t="s">
        <v>3310</v>
      </c>
      <c r="AT19" s="613" t="s">
        <v>3311</v>
      </c>
      <c r="AU19" s="613" t="s">
        <v>3310</v>
      </c>
      <c r="AV19" s="613" t="s">
        <v>1036</v>
      </c>
      <c r="AW19" s="613" t="s">
        <v>824</v>
      </c>
      <c r="AX19" s="613" t="s">
        <v>3312</v>
      </c>
      <c r="AY19" s="619">
        <v>46086</v>
      </c>
      <c r="AZ19" s="620">
        <v>46085</v>
      </c>
      <c r="BA19" s="613"/>
      <c r="BB19" s="620">
        <v>46106</v>
      </c>
      <c r="BC19" s="1292" t="s">
        <v>3328</v>
      </c>
      <c r="BD19" s="660" t="s">
        <v>3314</v>
      </c>
      <c r="BF19" s="521">
        <f t="shared" si="4"/>
        <v>7560</v>
      </c>
    </row>
    <row r="20" s="521" customFormat="1" ht="36" hidden="1" customHeight="1" spans="1:58">
      <c r="A20" s="612">
        <f t="shared" si="3"/>
        <v>16</v>
      </c>
      <c r="B20" s="48" t="s">
        <v>209</v>
      </c>
      <c r="C20" s="49" t="s">
        <v>3306</v>
      </c>
      <c r="D20" s="51" t="s">
        <v>3329</v>
      </c>
      <c r="E20" s="51" t="s">
        <v>3308</v>
      </c>
      <c r="F20" s="52">
        <v>46035</v>
      </c>
      <c r="G20" s="56">
        <v>46088</v>
      </c>
      <c r="H20" s="56">
        <v>46088</v>
      </c>
      <c r="I20" s="614">
        <v>46037</v>
      </c>
      <c r="J20" s="615">
        <f t="shared" si="1"/>
        <v>8640</v>
      </c>
      <c r="K20" s="616">
        <v>24</v>
      </c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6"/>
      <c r="AA20" s="616"/>
      <c r="AB20" s="616"/>
      <c r="AC20" s="616"/>
      <c r="AD20" s="616"/>
      <c r="AE20" s="616"/>
      <c r="AF20" s="616">
        <v>1440</v>
      </c>
      <c r="AG20" s="616">
        <v>1440</v>
      </c>
      <c r="AH20" s="616">
        <v>1440</v>
      </c>
      <c r="AI20" s="616">
        <v>1440</v>
      </c>
      <c r="AJ20" s="616">
        <v>1440</v>
      </c>
      <c r="AK20" s="616">
        <v>1440</v>
      </c>
      <c r="AL20" s="616"/>
      <c r="AM20" s="616"/>
      <c r="AN20" s="616"/>
      <c r="AO20" s="616"/>
      <c r="AP20" s="616"/>
      <c r="AQ20" s="616"/>
      <c r="AR20" s="613" t="s">
        <v>3309</v>
      </c>
      <c r="AS20" s="613" t="s">
        <v>3310</v>
      </c>
      <c r="AT20" s="613" t="s">
        <v>3311</v>
      </c>
      <c r="AU20" s="613" t="s">
        <v>3310</v>
      </c>
      <c r="AV20" s="613" t="s">
        <v>1036</v>
      </c>
      <c r="AW20" s="613" t="s">
        <v>824</v>
      </c>
      <c r="AX20" s="613" t="s">
        <v>3312</v>
      </c>
      <c r="AY20" s="619">
        <v>46086</v>
      </c>
      <c r="AZ20" s="620">
        <v>46085</v>
      </c>
      <c r="BA20" s="613"/>
      <c r="BB20" s="620">
        <v>46097</v>
      </c>
      <c r="BC20" s="1292" t="s">
        <v>3330</v>
      </c>
      <c r="BD20" s="660" t="s">
        <v>3314</v>
      </c>
      <c r="BF20" s="521">
        <f t="shared" si="4"/>
        <v>4320</v>
      </c>
    </row>
    <row r="21" s="521" customFormat="1" ht="36" hidden="1" customHeight="1" spans="1:58">
      <c r="A21" s="612">
        <f t="shared" si="3"/>
        <v>17</v>
      </c>
      <c r="B21" s="48" t="s">
        <v>209</v>
      </c>
      <c r="C21" s="49" t="s">
        <v>3306</v>
      </c>
      <c r="D21" s="51" t="s">
        <v>3331</v>
      </c>
      <c r="E21" s="51" t="s">
        <v>3308</v>
      </c>
      <c r="F21" s="52">
        <v>46035</v>
      </c>
      <c r="G21" s="56">
        <v>46088</v>
      </c>
      <c r="H21" s="56">
        <v>46088</v>
      </c>
      <c r="I21" s="614">
        <v>46037</v>
      </c>
      <c r="J21" s="615">
        <f t="shared" si="1"/>
        <v>10800</v>
      </c>
      <c r="K21" s="616">
        <v>24</v>
      </c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6"/>
      <c r="AA21" s="616"/>
      <c r="AB21" s="616"/>
      <c r="AC21" s="616"/>
      <c r="AD21" s="616"/>
      <c r="AE21" s="616"/>
      <c r="AF21" s="616">
        <v>1800</v>
      </c>
      <c r="AG21" s="616">
        <v>1800</v>
      </c>
      <c r="AH21" s="616">
        <v>1800</v>
      </c>
      <c r="AI21" s="616">
        <v>1800</v>
      </c>
      <c r="AJ21" s="616">
        <v>1800</v>
      </c>
      <c r="AK21" s="616">
        <v>1800</v>
      </c>
      <c r="AL21" s="616"/>
      <c r="AM21" s="616"/>
      <c r="AN21" s="616"/>
      <c r="AO21" s="616"/>
      <c r="AP21" s="616"/>
      <c r="AQ21" s="616"/>
      <c r="AR21" s="613" t="s">
        <v>3309</v>
      </c>
      <c r="AS21" s="613" t="s">
        <v>3310</v>
      </c>
      <c r="AT21" s="613" t="s">
        <v>3311</v>
      </c>
      <c r="AU21" s="613" t="s">
        <v>3310</v>
      </c>
      <c r="AV21" s="613" t="s">
        <v>1036</v>
      </c>
      <c r="AW21" s="613" t="s">
        <v>824</v>
      </c>
      <c r="AX21" s="613" t="s">
        <v>3312</v>
      </c>
      <c r="AY21" s="619">
        <v>46086</v>
      </c>
      <c r="AZ21" s="620">
        <v>46085</v>
      </c>
      <c r="BA21" s="613"/>
      <c r="BB21" s="620">
        <v>46097</v>
      </c>
      <c r="BC21" s="1292" t="s">
        <v>3332</v>
      </c>
      <c r="BD21" s="660" t="s">
        <v>3314</v>
      </c>
      <c r="BF21" s="521">
        <f t="shared" si="4"/>
        <v>5400</v>
      </c>
    </row>
    <row r="22" s="521" customFormat="1" ht="36" hidden="1" customHeight="1" spans="1:58">
      <c r="A22" s="612">
        <f t="shared" ref="A22:A30" si="5">ROW()-4</f>
        <v>18</v>
      </c>
      <c r="B22" s="48" t="s">
        <v>209</v>
      </c>
      <c r="C22" s="49" t="s">
        <v>3306</v>
      </c>
      <c r="D22" s="51" t="s">
        <v>3333</v>
      </c>
      <c r="E22" s="51" t="s">
        <v>3308</v>
      </c>
      <c r="F22" s="52">
        <v>46035</v>
      </c>
      <c r="G22" s="56">
        <v>46088</v>
      </c>
      <c r="H22" s="56">
        <v>46088</v>
      </c>
      <c r="I22" s="614">
        <v>46037</v>
      </c>
      <c r="J22" s="615">
        <f t="shared" si="1"/>
        <v>10800</v>
      </c>
      <c r="K22" s="616">
        <v>24</v>
      </c>
      <c r="L22" s="617"/>
      <c r="M22" s="617"/>
      <c r="N22" s="617"/>
      <c r="O22" s="617"/>
      <c r="P22" s="617"/>
      <c r="Q22" s="617"/>
      <c r="R22" s="617"/>
      <c r="S22" s="617"/>
      <c r="T22" s="617"/>
      <c r="U22" s="617"/>
      <c r="V22" s="617"/>
      <c r="W22" s="617"/>
      <c r="X22" s="617"/>
      <c r="Y22" s="617"/>
      <c r="Z22" s="616"/>
      <c r="AA22" s="616"/>
      <c r="AB22" s="616"/>
      <c r="AC22" s="616"/>
      <c r="AD22" s="616"/>
      <c r="AE22" s="616"/>
      <c r="AF22" s="616">
        <v>1800</v>
      </c>
      <c r="AG22" s="616">
        <v>1800</v>
      </c>
      <c r="AH22" s="616">
        <v>1800</v>
      </c>
      <c r="AI22" s="616">
        <v>1800</v>
      </c>
      <c r="AJ22" s="616">
        <v>1800</v>
      </c>
      <c r="AK22" s="616">
        <v>1800</v>
      </c>
      <c r="AL22" s="616"/>
      <c r="AM22" s="616"/>
      <c r="AN22" s="616"/>
      <c r="AO22" s="616"/>
      <c r="AP22" s="616"/>
      <c r="AQ22" s="616"/>
      <c r="AR22" s="613" t="s">
        <v>3309</v>
      </c>
      <c r="AS22" s="613" t="s">
        <v>3310</v>
      </c>
      <c r="AT22" s="613" t="s">
        <v>3311</v>
      </c>
      <c r="AU22" s="613" t="s">
        <v>3310</v>
      </c>
      <c r="AV22" s="613" t="s">
        <v>1036</v>
      </c>
      <c r="AW22" s="613" t="s">
        <v>824</v>
      </c>
      <c r="AX22" s="613" t="s">
        <v>3312</v>
      </c>
      <c r="AY22" s="619">
        <v>46086</v>
      </c>
      <c r="AZ22" s="620">
        <v>46085</v>
      </c>
      <c r="BA22" s="613"/>
      <c r="BB22" s="620">
        <v>46108</v>
      </c>
      <c r="BC22" s="1292" t="s">
        <v>3334</v>
      </c>
      <c r="BD22" s="660" t="s">
        <v>3314</v>
      </c>
      <c r="BF22" s="521">
        <f t="shared" si="4"/>
        <v>5400</v>
      </c>
    </row>
    <row r="23" s="521" customFormat="1" ht="36" hidden="1" customHeight="1" spans="1:58">
      <c r="A23" s="612">
        <f t="shared" si="5"/>
        <v>19</v>
      </c>
      <c r="B23" s="48" t="s">
        <v>209</v>
      </c>
      <c r="C23" s="49" t="s">
        <v>3306</v>
      </c>
      <c r="D23" s="51" t="s">
        <v>3335</v>
      </c>
      <c r="E23" s="51" t="s">
        <v>3308</v>
      </c>
      <c r="F23" s="52">
        <v>46035</v>
      </c>
      <c r="G23" s="56">
        <v>46099</v>
      </c>
      <c r="H23" s="56">
        <v>46099</v>
      </c>
      <c r="I23" s="614">
        <v>46037</v>
      </c>
      <c r="J23" s="615">
        <f t="shared" si="1"/>
        <v>15120</v>
      </c>
      <c r="K23" s="616">
        <v>24</v>
      </c>
      <c r="L23" s="617"/>
      <c r="M23" s="617"/>
      <c r="N23" s="617"/>
      <c r="O23" s="617"/>
      <c r="P23" s="617"/>
      <c r="Q23" s="617"/>
      <c r="R23" s="617"/>
      <c r="S23" s="617"/>
      <c r="T23" s="617"/>
      <c r="U23" s="617"/>
      <c r="V23" s="617"/>
      <c r="W23" s="617"/>
      <c r="X23" s="617"/>
      <c r="Y23" s="617"/>
      <c r="Z23" s="616"/>
      <c r="AA23" s="616"/>
      <c r="AB23" s="616"/>
      <c r="AC23" s="616"/>
      <c r="AD23" s="616"/>
      <c r="AE23" s="616"/>
      <c r="AF23" s="616"/>
      <c r="AG23" s="616"/>
      <c r="AH23" s="616"/>
      <c r="AI23" s="616"/>
      <c r="AJ23" s="616"/>
      <c r="AK23" s="616"/>
      <c r="AL23" s="616">
        <v>2520</v>
      </c>
      <c r="AM23" s="616">
        <v>2520</v>
      </c>
      <c r="AN23" s="616">
        <v>2520</v>
      </c>
      <c r="AO23" s="616">
        <v>2520</v>
      </c>
      <c r="AP23" s="616">
        <v>2520</v>
      </c>
      <c r="AQ23" s="616">
        <v>2520</v>
      </c>
      <c r="AR23" s="613" t="s">
        <v>3309</v>
      </c>
      <c r="AS23" s="613" t="s">
        <v>3336</v>
      </c>
      <c r="AT23" s="613" t="s">
        <v>3311</v>
      </c>
      <c r="AU23" s="613" t="s">
        <v>3336</v>
      </c>
      <c r="AV23" s="613" t="s">
        <v>1036</v>
      </c>
      <c r="AW23" s="613" t="s">
        <v>824</v>
      </c>
      <c r="AX23" s="613" t="s">
        <v>3312</v>
      </c>
      <c r="AY23" s="619">
        <v>46097</v>
      </c>
      <c r="AZ23" s="620">
        <v>46092</v>
      </c>
      <c r="BA23" s="620" t="s">
        <v>3337</v>
      </c>
      <c r="BB23" s="620">
        <v>46111</v>
      </c>
      <c r="BC23" s="1292" t="s">
        <v>3338</v>
      </c>
      <c r="BD23" s="660" t="s">
        <v>3339</v>
      </c>
      <c r="BF23" s="521">
        <f t="shared" si="4"/>
        <v>7560</v>
      </c>
    </row>
    <row r="24" s="521" customFormat="1" ht="36" hidden="1" customHeight="1" spans="1:58">
      <c r="A24" s="612">
        <f t="shared" si="5"/>
        <v>20</v>
      </c>
      <c r="B24" s="48" t="s">
        <v>209</v>
      </c>
      <c r="C24" s="49" t="s">
        <v>3306</v>
      </c>
      <c r="D24" s="51" t="s">
        <v>3340</v>
      </c>
      <c r="E24" s="51" t="s">
        <v>3308</v>
      </c>
      <c r="F24" s="52">
        <v>46035</v>
      </c>
      <c r="G24" s="56">
        <v>46099</v>
      </c>
      <c r="H24" s="56">
        <v>46099</v>
      </c>
      <c r="I24" s="614">
        <v>46037</v>
      </c>
      <c r="J24" s="615">
        <f t="shared" si="1"/>
        <v>10800</v>
      </c>
      <c r="K24" s="616">
        <v>24</v>
      </c>
      <c r="L24" s="617"/>
      <c r="M24" s="617"/>
      <c r="N24" s="617"/>
      <c r="O24" s="617"/>
      <c r="P24" s="617"/>
      <c r="Q24" s="617"/>
      <c r="R24" s="617"/>
      <c r="S24" s="617"/>
      <c r="T24" s="617"/>
      <c r="U24" s="617"/>
      <c r="V24" s="617"/>
      <c r="W24" s="617"/>
      <c r="X24" s="617"/>
      <c r="Y24" s="617"/>
      <c r="Z24" s="616"/>
      <c r="AA24" s="616"/>
      <c r="AB24" s="616"/>
      <c r="AC24" s="616"/>
      <c r="AD24" s="616"/>
      <c r="AE24" s="616"/>
      <c r="AF24" s="616"/>
      <c r="AG24" s="616"/>
      <c r="AH24" s="616"/>
      <c r="AI24" s="616"/>
      <c r="AJ24" s="616"/>
      <c r="AK24" s="616"/>
      <c r="AL24" s="616">
        <v>1800</v>
      </c>
      <c r="AM24" s="616">
        <v>1800</v>
      </c>
      <c r="AN24" s="616">
        <v>1800</v>
      </c>
      <c r="AO24" s="616">
        <v>1800</v>
      </c>
      <c r="AP24" s="616">
        <v>1800</v>
      </c>
      <c r="AQ24" s="616">
        <v>1800</v>
      </c>
      <c r="AR24" s="613" t="s">
        <v>3309</v>
      </c>
      <c r="AS24" s="613" t="s">
        <v>3336</v>
      </c>
      <c r="AT24" s="613" t="s">
        <v>3311</v>
      </c>
      <c r="AU24" s="613" t="s">
        <v>3336</v>
      </c>
      <c r="AV24" s="613" t="s">
        <v>1036</v>
      </c>
      <c r="AW24" s="613" t="s">
        <v>824</v>
      </c>
      <c r="AX24" s="613" t="s">
        <v>3312</v>
      </c>
      <c r="AY24" s="619">
        <v>46097</v>
      </c>
      <c r="AZ24" s="620">
        <v>46092</v>
      </c>
      <c r="BA24" s="621"/>
      <c r="BB24" s="620">
        <v>46109</v>
      </c>
      <c r="BC24" s="1292" t="s">
        <v>3341</v>
      </c>
      <c r="BD24" s="660" t="s">
        <v>3339</v>
      </c>
      <c r="BF24" s="521">
        <f t="shared" si="4"/>
        <v>5400</v>
      </c>
    </row>
    <row r="25" s="521" customFormat="1" ht="36" hidden="1" customHeight="1" spans="1:58">
      <c r="A25" s="612">
        <f t="shared" si="5"/>
        <v>21</v>
      </c>
      <c r="B25" s="48" t="s">
        <v>209</v>
      </c>
      <c r="C25" s="49" t="s">
        <v>3306</v>
      </c>
      <c r="D25" s="51" t="s">
        <v>3342</v>
      </c>
      <c r="E25" s="51" t="s">
        <v>3308</v>
      </c>
      <c r="F25" s="52">
        <v>46035</v>
      </c>
      <c r="G25" s="56">
        <v>46099</v>
      </c>
      <c r="H25" s="56">
        <v>46099</v>
      </c>
      <c r="I25" s="614">
        <v>46037</v>
      </c>
      <c r="J25" s="615">
        <f t="shared" si="1"/>
        <v>6480</v>
      </c>
      <c r="K25" s="616">
        <v>24</v>
      </c>
      <c r="L25" s="617"/>
      <c r="M25" s="617"/>
      <c r="N25" s="617"/>
      <c r="O25" s="617"/>
      <c r="P25" s="617"/>
      <c r="Q25" s="617"/>
      <c r="R25" s="617"/>
      <c r="S25" s="617"/>
      <c r="T25" s="617"/>
      <c r="U25" s="617"/>
      <c r="V25" s="617"/>
      <c r="W25" s="617"/>
      <c r="X25" s="617"/>
      <c r="Y25" s="617"/>
      <c r="Z25" s="616"/>
      <c r="AA25" s="616"/>
      <c r="AB25" s="616"/>
      <c r="AC25" s="616"/>
      <c r="AD25" s="616"/>
      <c r="AE25" s="616"/>
      <c r="AF25" s="616"/>
      <c r="AG25" s="616"/>
      <c r="AH25" s="616"/>
      <c r="AI25" s="616"/>
      <c r="AJ25" s="616"/>
      <c r="AK25" s="616"/>
      <c r="AL25" s="616">
        <v>1080</v>
      </c>
      <c r="AM25" s="616">
        <v>1080</v>
      </c>
      <c r="AN25" s="616">
        <v>1080</v>
      </c>
      <c r="AO25" s="616">
        <v>1080</v>
      </c>
      <c r="AP25" s="616">
        <v>1080</v>
      </c>
      <c r="AQ25" s="616">
        <v>1080</v>
      </c>
      <c r="AR25" s="613" t="s">
        <v>3309</v>
      </c>
      <c r="AS25" s="613" t="s">
        <v>3336</v>
      </c>
      <c r="AT25" s="613" t="s">
        <v>3311</v>
      </c>
      <c r="AU25" s="613" t="s">
        <v>3336</v>
      </c>
      <c r="AV25" s="613" t="s">
        <v>1036</v>
      </c>
      <c r="AW25" s="613" t="s">
        <v>824</v>
      </c>
      <c r="AX25" s="613" t="s">
        <v>3312</v>
      </c>
      <c r="AY25" s="619">
        <v>46097</v>
      </c>
      <c r="AZ25" s="620">
        <v>46092</v>
      </c>
      <c r="BA25" s="613"/>
      <c r="BB25" s="620">
        <v>46109</v>
      </c>
      <c r="BC25" s="1292" t="s">
        <v>3343</v>
      </c>
      <c r="BD25" s="660" t="s">
        <v>3339</v>
      </c>
      <c r="BF25" s="521">
        <f t="shared" si="4"/>
        <v>3240</v>
      </c>
    </row>
    <row r="26" s="521" customFormat="1" ht="36" hidden="1" customHeight="1" spans="1:58">
      <c r="A26" s="612">
        <f t="shared" si="5"/>
        <v>22</v>
      </c>
      <c r="B26" s="48" t="s">
        <v>209</v>
      </c>
      <c r="C26" s="49" t="s">
        <v>3306</v>
      </c>
      <c r="D26" s="51" t="s">
        <v>3344</v>
      </c>
      <c r="E26" s="51" t="s">
        <v>3308</v>
      </c>
      <c r="F26" s="52">
        <v>46035</v>
      </c>
      <c r="G26" s="56">
        <v>46099</v>
      </c>
      <c r="H26" s="56">
        <v>46099</v>
      </c>
      <c r="I26" s="614">
        <v>46037</v>
      </c>
      <c r="J26" s="615">
        <f t="shared" si="1"/>
        <v>8640</v>
      </c>
      <c r="K26" s="616">
        <v>24</v>
      </c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6"/>
      <c r="AA26" s="616"/>
      <c r="AB26" s="616"/>
      <c r="AC26" s="616"/>
      <c r="AD26" s="616"/>
      <c r="AE26" s="616"/>
      <c r="AF26" s="616"/>
      <c r="AG26" s="616"/>
      <c r="AH26" s="616"/>
      <c r="AI26" s="616"/>
      <c r="AJ26" s="616"/>
      <c r="AK26" s="616"/>
      <c r="AL26" s="616">
        <v>1440</v>
      </c>
      <c r="AM26" s="616">
        <v>1440</v>
      </c>
      <c r="AN26" s="616">
        <v>1440</v>
      </c>
      <c r="AO26" s="616">
        <v>1440</v>
      </c>
      <c r="AP26" s="616">
        <v>1440</v>
      </c>
      <c r="AQ26" s="616">
        <v>1440</v>
      </c>
      <c r="AR26" s="613" t="s">
        <v>3309</v>
      </c>
      <c r="AS26" s="613" t="s">
        <v>3336</v>
      </c>
      <c r="AT26" s="613" t="s">
        <v>3311</v>
      </c>
      <c r="AU26" s="613" t="s">
        <v>3336</v>
      </c>
      <c r="AV26" s="613" t="s">
        <v>1036</v>
      </c>
      <c r="AW26" s="613" t="s">
        <v>824</v>
      </c>
      <c r="AX26" s="613" t="s">
        <v>3312</v>
      </c>
      <c r="AY26" s="619">
        <v>46097</v>
      </c>
      <c r="AZ26" s="620">
        <v>46092</v>
      </c>
      <c r="BA26" s="613"/>
      <c r="BB26" s="620">
        <v>46104</v>
      </c>
      <c r="BC26" s="1292" t="s">
        <v>3345</v>
      </c>
      <c r="BD26" s="660" t="s">
        <v>3339</v>
      </c>
      <c r="BF26" s="521">
        <f t="shared" si="4"/>
        <v>4320</v>
      </c>
    </row>
    <row r="27" s="521" customFormat="1" ht="36" hidden="1" customHeight="1" spans="1:58">
      <c r="A27" s="612">
        <f t="shared" si="5"/>
        <v>23</v>
      </c>
      <c r="B27" s="48" t="s">
        <v>209</v>
      </c>
      <c r="C27" s="49" t="s">
        <v>3306</v>
      </c>
      <c r="D27" s="51" t="s">
        <v>3346</v>
      </c>
      <c r="E27" s="51" t="s">
        <v>3308</v>
      </c>
      <c r="F27" s="52">
        <v>46035</v>
      </c>
      <c r="G27" s="56">
        <v>46099</v>
      </c>
      <c r="H27" s="56">
        <v>46099</v>
      </c>
      <c r="I27" s="614">
        <v>46037</v>
      </c>
      <c r="J27" s="615">
        <f t="shared" si="1"/>
        <v>8640</v>
      </c>
      <c r="K27" s="616">
        <v>24</v>
      </c>
      <c r="L27" s="617"/>
      <c r="M27" s="617"/>
      <c r="N27" s="617"/>
      <c r="O27" s="617"/>
      <c r="P27" s="617"/>
      <c r="Q27" s="617"/>
      <c r="R27" s="617"/>
      <c r="S27" s="617"/>
      <c r="T27" s="617"/>
      <c r="U27" s="617"/>
      <c r="V27" s="617"/>
      <c r="W27" s="617"/>
      <c r="X27" s="617"/>
      <c r="Y27" s="617"/>
      <c r="Z27" s="616"/>
      <c r="AA27" s="616"/>
      <c r="AB27" s="616"/>
      <c r="AC27" s="616"/>
      <c r="AD27" s="616"/>
      <c r="AE27" s="616"/>
      <c r="AF27" s="616"/>
      <c r="AG27" s="616"/>
      <c r="AH27" s="616"/>
      <c r="AI27" s="616"/>
      <c r="AJ27" s="616"/>
      <c r="AK27" s="616"/>
      <c r="AL27" s="616">
        <v>1440</v>
      </c>
      <c r="AM27" s="616">
        <v>1440</v>
      </c>
      <c r="AN27" s="616">
        <v>1440</v>
      </c>
      <c r="AO27" s="616">
        <v>1440</v>
      </c>
      <c r="AP27" s="616">
        <v>1440</v>
      </c>
      <c r="AQ27" s="616">
        <v>1440</v>
      </c>
      <c r="AR27" s="613" t="s">
        <v>3309</v>
      </c>
      <c r="AS27" s="613" t="s">
        <v>3336</v>
      </c>
      <c r="AT27" s="613" t="s">
        <v>3311</v>
      </c>
      <c r="AU27" s="613" t="s">
        <v>3336</v>
      </c>
      <c r="AV27" s="613" t="s">
        <v>1036</v>
      </c>
      <c r="AW27" s="613" t="s">
        <v>824</v>
      </c>
      <c r="AX27" s="613" t="s">
        <v>3312</v>
      </c>
      <c r="AY27" s="619">
        <v>46097</v>
      </c>
      <c r="AZ27" s="620">
        <v>46092</v>
      </c>
      <c r="BA27" s="613"/>
      <c r="BB27" s="620">
        <v>46111</v>
      </c>
      <c r="BC27" s="1292" t="s">
        <v>3347</v>
      </c>
      <c r="BD27" s="660" t="s">
        <v>3339</v>
      </c>
      <c r="BF27" s="521">
        <f t="shared" si="4"/>
        <v>4320</v>
      </c>
    </row>
    <row r="28" s="521" customFormat="1" ht="36" hidden="1" customHeight="1" spans="1:58">
      <c r="A28" s="612">
        <f t="shared" si="5"/>
        <v>24</v>
      </c>
      <c r="B28" s="48" t="s">
        <v>209</v>
      </c>
      <c r="C28" s="49" t="s">
        <v>3306</v>
      </c>
      <c r="D28" s="51" t="s">
        <v>3348</v>
      </c>
      <c r="E28" s="51" t="s">
        <v>3308</v>
      </c>
      <c r="F28" s="52">
        <v>46035</v>
      </c>
      <c r="G28" s="56">
        <v>46099</v>
      </c>
      <c r="H28" s="56">
        <v>46099</v>
      </c>
      <c r="I28" s="614">
        <v>46037</v>
      </c>
      <c r="J28" s="615">
        <f t="shared" si="1"/>
        <v>6480</v>
      </c>
      <c r="K28" s="616">
        <v>24</v>
      </c>
      <c r="L28" s="617"/>
      <c r="M28" s="617"/>
      <c r="N28" s="617"/>
      <c r="O28" s="617"/>
      <c r="P28" s="617"/>
      <c r="Q28" s="617"/>
      <c r="R28" s="617"/>
      <c r="S28" s="617"/>
      <c r="T28" s="617"/>
      <c r="U28" s="617"/>
      <c r="V28" s="617"/>
      <c r="W28" s="617"/>
      <c r="X28" s="617"/>
      <c r="Y28" s="617"/>
      <c r="Z28" s="616"/>
      <c r="AA28" s="616"/>
      <c r="AB28" s="616"/>
      <c r="AC28" s="616"/>
      <c r="AD28" s="616"/>
      <c r="AE28" s="616"/>
      <c r="AF28" s="616"/>
      <c r="AG28" s="616"/>
      <c r="AH28" s="616"/>
      <c r="AI28" s="616"/>
      <c r="AJ28" s="616"/>
      <c r="AK28" s="616"/>
      <c r="AL28" s="616">
        <v>1080</v>
      </c>
      <c r="AM28" s="616">
        <v>1080</v>
      </c>
      <c r="AN28" s="616">
        <v>1080</v>
      </c>
      <c r="AO28" s="616">
        <v>1080</v>
      </c>
      <c r="AP28" s="616">
        <v>1080</v>
      </c>
      <c r="AQ28" s="616">
        <v>1080</v>
      </c>
      <c r="AR28" s="613" t="s">
        <v>3309</v>
      </c>
      <c r="AS28" s="613" t="s">
        <v>3336</v>
      </c>
      <c r="AT28" s="613" t="s">
        <v>3311</v>
      </c>
      <c r="AU28" s="613" t="s">
        <v>3336</v>
      </c>
      <c r="AV28" s="613" t="s">
        <v>1036</v>
      </c>
      <c r="AW28" s="613" t="s">
        <v>824</v>
      </c>
      <c r="AX28" s="613" t="s">
        <v>3312</v>
      </c>
      <c r="AY28" s="619">
        <v>46097</v>
      </c>
      <c r="AZ28" s="620">
        <v>46092</v>
      </c>
      <c r="BA28" s="613"/>
      <c r="BB28" s="620">
        <v>46108</v>
      </c>
      <c r="BC28" s="1292" t="s">
        <v>3349</v>
      </c>
      <c r="BD28" s="660" t="s">
        <v>3339</v>
      </c>
      <c r="BF28" s="521">
        <f t="shared" si="4"/>
        <v>3240</v>
      </c>
    </row>
    <row r="29" s="521" customFormat="1" ht="36" hidden="1" customHeight="1" spans="1:58">
      <c r="A29" s="612">
        <f t="shared" si="5"/>
        <v>25</v>
      </c>
      <c r="B29" s="48" t="s">
        <v>3350</v>
      </c>
      <c r="C29" s="49" t="s">
        <v>101</v>
      </c>
      <c r="D29" s="51" t="s">
        <v>3351</v>
      </c>
      <c r="E29" s="51" t="s">
        <v>3352</v>
      </c>
      <c r="F29" s="52">
        <v>46048</v>
      </c>
      <c r="G29" s="56">
        <v>46112</v>
      </c>
      <c r="H29" s="56">
        <v>46112</v>
      </c>
      <c r="I29" s="614">
        <v>46066</v>
      </c>
      <c r="J29" s="615">
        <f t="shared" si="1"/>
        <v>80016</v>
      </c>
      <c r="K29" s="616">
        <v>48</v>
      </c>
      <c r="L29" s="617"/>
      <c r="M29" s="617"/>
      <c r="N29" s="617"/>
      <c r="O29" s="617"/>
      <c r="P29" s="617"/>
      <c r="Q29" s="617"/>
      <c r="R29" s="617"/>
      <c r="S29" s="617"/>
      <c r="T29" s="617"/>
      <c r="U29" s="617"/>
      <c r="V29" s="616">
        <v>20004</v>
      </c>
      <c r="W29" s="616">
        <v>20004</v>
      </c>
      <c r="X29" s="616">
        <v>20004</v>
      </c>
      <c r="Y29" s="616">
        <v>20004</v>
      </c>
      <c r="Z29" s="616"/>
      <c r="AA29" s="616"/>
      <c r="AB29" s="616"/>
      <c r="AC29" s="616"/>
      <c r="AD29" s="616"/>
      <c r="AE29" s="616"/>
      <c r="AF29" s="616"/>
      <c r="AG29" s="616"/>
      <c r="AH29" s="616"/>
      <c r="AI29" s="616"/>
      <c r="AJ29" s="616"/>
      <c r="AK29" s="616"/>
      <c r="AL29" s="616"/>
      <c r="AM29" s="616"/>
      <c r="AN29" s="616"/>
      <c r="AO29" s="616"/>
      <c r="AP29" s="616"/>
      <c r="AQ29" s="616"/>
      <c r="AR29" s="613" t="s">
        <v>3353</v>
      </c>
      <c r="AS29" s="613" t="s">
        <v>1521</v>
      </c>
      <c r="AT29" s="613" t="s">
        <v>84</v>
      </c>
      <c r="AU29" s="613" t="s">
        <v>1521</v>
      </c>
      <c r="AV29" s="613" t="s">
        <v>1036</v>
      </c>
      <c r="AW29" s="613" t="s">
        <v>1512</v>
      </c>
      <c r="AX29" s="613" t="s">
        <v>3294</v>
      </c>
      <c r="AY29" s="619">
        <v>46109</v>
      </c>
      <c r="AZ29" s="620">
        <v>46107</v>
      </c>
      <c r="BA29" s="613"/>
      <c r="BB29" s="620">
        <v>46121</v>
      </c>
      <c r="BC29" s="622" t="s">
        <v>3354</v>
      </c>
      <c r="BD29" s="660" t="s">
        <v>3296</v>
      </c>
      <c r="BF29" s="521">
        <f t="shared" si="4"/>
        <v>40008</v>
      </c>
    </row>
    <row r="30" s="521" customFormat="1" ht="36" hidden="1" customHeight="1" spans="1:58">
      <c r="A30" s="612">
        <f t="shared" si="5"/>
        <v>26</v>
      </c>
      <c r="B30" s="48" t="s">
        <v>2580</v>
      </c>
      <c r="C30" s="49" t="s">
        <v>124</v>
      </c>
      <c r="D30" s="51" t="s">
        <v>3355</v>
      </c>
      <c r="E30" s="51" t="s">
        <v>3356</v>
      </c>
      <c r="F30" s="52">
        <v>45909</v>
      </c>
      <c r="G30" s="56">
        <v>46118</v>
      </c>
      <c r="H30" s="56">
        <v>46118</v>
      </c>
      <c r="I30" s="614">
        <v>46038</v>
      </c>
      <c r="J30" s="615">
        <f t="shared" si="1"/>
        <v>100824</v>
      </c>
      <c r="K30" s="616">
        <v>24</v>
      </c>
      <c r="L30" s="617"/>
      <c r="M30" s="617"/>
      <c r="N30" s="617"/>
      <c r="O30" s="617"/>
      <c r="P30" s="617"/>
      <c r="Q30" s="617"/>
      <c r="R30" s="617"/>
      <c r="S30" s="617"/>
      <c r="T30" s="617"/>
      <c r="U30" s="617"/>
      <c r="V30" s="617"/>
      <c r="W30" s="617"/>
      <c r="X30" s="617"/>
      <c r="Y30" s="617"/>
      <c r="Z30" s="616"/>
      <c r="AA30" s="616"/>
      <c r="AB30" s="616"/>
      <c r="AC30" s="616"/>
      <c r="AD30" s="616"/>
      <c r="AE30" s="616"/>
      <c r="AF30" s="616"/>
      <c r="AG30" s="616"/>
      <c r="AH30" s="616"/>
      <c r="AI30" s="616"/>
      <c r="AJ30" s="616"/>
      <c r="AK30" s="616"/>
      <c r="AL30" s="616">
        <v>16804</v>
      </c>
      <c r="AM30" s="616">
        <v>16804</v>
      </c>
      <c r="AN30" s="616">
        <v>16804</v>
      </c>
      <c r="AO30" s="616">
        <v>16804</v>
      </c>
      <c r="AP30" s="616">
        <v>16804</v>
      </c>
      <c r="AQ30" s="616">
        <v>16804</v>
      </c>
      <c r="AR30" s="613" t="s">
        <v>3299</v>
      </c>
      <c r="AS30" s="613" t="s">
        <v>3300</v>
      </c>
      <c r="AT30" s="613" t="s">
        <v>3213</v>
      </c>
      <c r="AU30" s="613" t="s">
        <v>3357</v>
      </c>
      <c r="AV30" s="613" t="s">
        <v>3301</v>
      </c>
      <c r="AW30" s="613" t="s">
        <v>3302</v>
      </c>
      <c r="AX30" s="613" t="s">
        <v>3287</v>
      </c>
      <c r="AY30" s="619">
        <v>46116</v>
      </c>
      <c r="AZ30" s="620">
        <v>46107</v>
      </c>
      <c r="BA30" s="613"/>
      <c r="BB30" s="620">
        <v>46112</v>
      </c>
      <c r="BC30" s="622" t="s">
        <v>3358</v>
      </c>
      <c r="BD30" s="660" t="s">
        <v>3305</v>
      </c>
      <c r="BF30" s="521">
        <f t="shared" si="4"/>
        <v>50412</v>
      </c>
    </row>
    <row r="31" s="521" customFormat="1" ht="35.25" hidden="1" customHeight="1" spans="1:58">
      <c r="A31" s="612">
        <f t="shared" ref="A31:A36" si="6">ROW()-4</f>
        <v>27</v>
      </c>
      <c r="B31" s="48" t="s">
        <v>209</v>
      </c>
      <c r="C31" s="49" t="s">
        <v>3306</v>
      </c>
      <c r="D31" s="51" t="s">
        <v>3359</v>
      </c>
      <c r="E31" s="51" t="s">
        <v>3360</v>
      </c>
      <c r="F31" s="56">
        <v>46056</v>
      </c>
      <c r="G31" s="56">
        <v>46125</v>
      </c>
      <c r="H31" s="56">
        <v>46125</v>
      </c>
      <c r="I31" s="614">
        <v>46064</v>
      </c>
      <c r="J31" s="615">
        <f t="shared" si="1"/>
        <v>12960</v>
      </c>
      <c r="K31" s="616">
        <v>24</v>
      </c>
      <c r="L31" s="617"/>
      <c r="M31" s="617"/>
      <c r="N31" s="617"/>
      <c r="O31" s="617"/>
      <c r="P31" s="617"/>
      <c r="Q31" s="617"/>
      <c r="R31" s="617"/>
      <c r="S31" s="617"/>
      <c r="T31" s="617"/>
      <c r="U31" s="617"/>
      <c r="V31" s="617"/>
      <c r="W31" s="617"/>
      <c r="X31" s="617"/>
      <c r="Y31" s="617"/>
      <c r="Z31" s="617"/>
      <c r="AA31" s="617"/>
      <c r="AB31" s="617"/>
      <c r="AC31" s="617"/>
      <c r="AD31" s="617"/>
      <c r="AE31" s="617"/>
      <c r="AF31" s="617"/>
      <c r="AG31" s="617"/>
      <c r="AH31" s="617"/>
      <c r="AI31" s="617"/>
      <c r="AJ31" s="617"/>
      <c r="AK31" s="617"/>
      <c r="AL31" s="617">
        <v>2160</v>
      </c>
      <c r="AM31" s="617">
        <v>2160</v>
      </c>
      <c r="AN31" s="617">
        <v>2160</v>
      </c>
      <c r="AO31" s="617">
        <v>2160</v>
      </c>
      <c r="AP31" s="617">
        <v>2160</v>
      </c>
      <c r="AQ31" s="617">
        <v>2160</v>
      </c>
      <c r="AR31" s="613" t="s">
        <v>3353</v>
      </c>
      <c r="AS31" s="613" t="s">
        <v>1521</v>
      </c>
      <c r="AT31" s="613" t="s">
        <v>1036</v>
      </c>
      <c r="AU31" s="613" t="s">
        <v>1521</v>
      </c>
      <c r="AV31" s="613" t="s">
        <v>1036</v>
      </c>
      <c r="AW31" s="613" t="s">
        <v>1512</v>
      </c>
      <c r="AX31" s="613" t="s">
        <v>3312</v>
      </c>
      <c r="AY31" s="619">
        <v>46125</v>
      </c>
      <c r="AZ31" s="620">
        <v>46122</v>
      </c>
      <c r="BA31" s="613"/>
      <c r="BB31" s="620">
        <v>46134</v>
      </c>
      <c r="BC31" s="622" t="s">
        <v>3361</v>
      </c>
      <c r="BD31" s="660" t="s">
        <v>3339</v>
      </c>
      <c r="BF31" s="521">
        <f t="shared" si="4"/>
        <v>6480</v>
      </c>
    </row>
    <row r="32" s="521" customFormat="1" ht="35.25" hidden="1" customHeight="1" spans="1:58">
      <c r="A32" s="612">
        <f t="shared" si="6"/>
        <v>28</v>
      </c>
      <c r="B32" s="48" t="s">
        <v>209</v>
      </c>
      <c r="C32" s="49" t="s">
        <v>3306</v>
      </c>
      <c r="D32" s="51" t="s">
        <v>3362</v>
      </c>
      <c r="E32" s="51" t="s">
        <v>3363</v>
      </c>
      <c r="F32" s="56">
        <v>46056</v>
      </c>
      <c r="G32" s="56">
        <v>46125</v>
      </c>
      <c r="H32" s="56">
        <v>46125</v>
      </c>
      <c r="I32" s="614">
        <v>46064</v>
      </c>
      <c r="J32" s="615">
        <f t="shared" si="1"/>
        <v>15120</v>
      </c>
      <c r="K32" s="616">
        <v>24</v>
      </c>
      <c r="L32" s="617"/>
      <c r="M32" s="617"/>
      <c r="N32" s="617"/>
      <c r="O32" s="617"/>
      <c r="P32" s="617"/>
      <c r="Q32" s="617"/>
      <c r="R32" s="617"/>
      <c r="S32" s="617"/>
      <c r="T32" s="617"/>
      <c r="U32" s="617"/>
      <c r="V32" s="617"/>
      <c r="W32" s="617"/>
      <c r="X32" s="617"/>
      <c r="Y32" s="617"/>
      <c r="Z32" s="617"/>
      <c r="AA32" s="617"/>
      <c r="AB32" s="617"/>
      <c r="AC32" s="617"/>
      <c r="AD32" s="617"/>
      <c r="AE32" s="617"/>
      <c r="AF32" s="617"/>
      <c r="AG32" s="617"/>
      <c r="AH32" s="617"/>
      <c r="AI32" s="617"/>
      <c r="AJ32" s="617"/>
      <c r="AK32" s="617"/>
      <c r="AL32" s="617">
        <v>2520</v>
      </c>
      <c r="AM32" s="617">
        <v>2520</v>
      </c>
      <c r="AN32" s="617">
        <v>2520</v>
      </c>
      <c r="AO32" s="617">
        <v>2520</v>
      </c>
      <c r="AP32" s="617">
        <v>2520</v>
      </c>
      <c r="AQ32" s="617">
        <v>2520</v>
      </c>
      <c r="AR32" s="613" t="s">
        <v>3353</v>
      </c>
      <c r="AS32" s="613" t="s">
        <v>1521</v>
      </c>
      <c r="AT32" s="613" t="s">
        <v>1036</v>
      </c>
      <c r="AU32" s="613" t="s">
        <v>1521</v>
      </c>
      <c r="AV32" s="613" t="s">
        <v>1036</v>
      </c>
      <c r="AW32" s="613" t="s">
        <v>1512</v>
      </c>
      <c r="AX32" s="613" t="s">
        <v>3312</v>
      </c>
      <c r="AY32" s="619">
        <v>46125</v>
      </c>
      <c r="AZ32" s="620">
        <v>46122</v>
      </c>
      <c r="BA32" s="613"/>
      <c r="BB32" s="620">
        <v>46149</v>
      </c>
      <c r="BC32" s="622" t="s">
        <v>3364</v>
      </c>
      <c r="BD32" s="660" t="s">
        <v>3339</v>
      </c>
      <c r="BF32" s="521">
        <f t="shared" ref="BF31:BF60" si="7">J32/2</f>
        <v>7560</v>
      </c>
    </row>
    <row r="33" s="521" customFormat="1" ht="35.25" hidden="1" customHeight="1" spans="1:58">
      <c r="A33" s="612">
        <f t="shared" si="6"/>
        <v>29</v>
      </c>
      <c r="B33" s="48" t="s">
        <v>209</v>
      </c>
      <c r="C33" s="49" t="s">
        <v>3306</v>
      </c>
      <c r="D33" s="51" t="s">
        <v>3365</v>
      </c>
      <c r="E33" s="51" t="s">
        <v>3366</v>
      </c>
      <c r="F33" s="56">
        <v>46056</v>
      </c>
      <c r="G33" s="56">
        <v>46125</v>
      </c>
      <c r="H33" s="56">
        <v>46125</v>
      </c>
      <c r="I33" s="614">
        <v>46064</v>
      </c>
      <c r="J33" s="615">
        <f t="shared" si="1"/>
        <v>8640</v>
      </c>
      <c r="K33" s="616">
        <v>24</v>
      </c>
      <c r="L33" s="617"/>
      <c r="M33" s="617"/>
      <c r="N33" s="617"/>
      <c r="O33" s="617"/>
      <c r="P33" s="617"/>
      <c r="Q33" s="617"/>
      <c r="R33" s="617"/>
      <c r="S33" s="617"/>
      <c r="T33" s="617"/>
      <c r="U33" s="617"/>
      <c r="V33" s="617"/>
      <c r="W33" s="617"/>
      <c r="X33" s="617"/>
      <c r="Y33" s="617"/>
      <c r="Z33" s="617"/>
      <c r="AA33" s="617"/>
      <c r="AB33" s="617"/>
      <c r="AC33" s="617"/>
      <c r="AD33" s="617"/>
      <c r="AE33" s="617"/>
      <c r="AF33" s="617"/>
      <c r="AG33" s="617"/>
      <c r="AH33" s="617"/>
      <c r="AI33" s="617"/>
      <c r="AJ33" s="617"/>
      <c r="AK33" s="617"/>
      <c r="AL33" s="617">
        <v>1440</v>
      </c>
      <c r="AM33" s="617">
        <v>1440</v>
      </c>
      <c r="AN33" s="617">
        <v>1440</v>
      </c>
      <c r="AO33" s="617">
        <v>1440</v>
      </c>
      <c r="AP33" s="617">
        <v>1440</v>
      </c>
      <c r="AQ33" s="617">
        <v>1440</v>
      </c>
      <c r="AR33" s="613" t="s">
        <v>3353</v>
      </c>
      <c r="AS33" s="613" t="s">
        <v>1521</v>
      </c>
      <c r="AT33" s="613" t="s">
        <v>1036</v>
      </c>
      <c r="AU33" s="613" t="s">
        <v>1521</v>
      </c>
      <c r="AV33" s="613" t="s">
        <v>1036</v>
      </c>
      <c r="AW33" s="613" t="s">
        <v>1512</v>
      </c>
      <c r="AX33" s="613" t="s">
        <v>3312</v>
      </c>
      <c r="AY33" s="619">
        <v>46125</v>
      </c>
      <c r="AZ33" s="620">
        <v>46122</v>
      </c>
      <c r="BA33" s="613"/>
      <c r="BB33" s="620">
        <v>46149</v>
      </c>
      <c r="BC33" s="622" t="s">
        <v>3367</v>
      </c>
      <c r="BD33" s="660" t="s">
        <v>3339</v>
      </c>
      <c r="BF33" s="521">
        <f t="shared" si="7"/>
        <v>4320</v>
      </c>
    </row>
    <row r="34" s="521" customFormat="1" ht="35.25" hidden="1" customHeight="1" spans="1:58">
      <c r="A34" s="612">
        <f t="shared" si="6"/>
        <v>30</v>
      </c>
      <c r="B34" s="48" t="s">
        <v>209</v>
      </c>
      <c r="C34" s="49" t="s">
        <v>3306</v>
      </c>
      <c r="D34" s="51" t="s">
        <v>3368</v>
      </c>
      <c r="E34" s="51" t="s">
        <v>3369</v>
      </c>
      <c r="F34" s="56">
        <v>46056</v>
      </c>
      <c r="G34" s="56">
        <v>46125</v>
      </c>
      <c r="H34" s="56">
        <v>46125</v>
      </c>
      <c r="I34" s="614">
        <v>46064</v>
      </c>
      <c r="J34" s="615">
        <f t="shared" si="1"/>
        <v>41040</v>
      </c>
      <c r="K34" s="616">
        <v>24</v>
      </c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  <c r="Y34" s="617"/>
      <c r="Z34" s="617"/>
      <c r="AA34" s="617"/>
      <c r="AB34" s="617"/>
      <c r="AC34" s="617"/>
      <c r="AD34" s="617"/>
      <c r="AE34" s="617"/>
      <c r="AF34" s="617"/>
      <c r="AG34" s="617"/>
      <c r="AH34" s="617"/>
      <c r="AI34" s="617"/>
      <c r="AJ34" s="617"/>
      <c r="AK34" s="617"/>
      <c r="AL34" s="617">
        <v>6840</v>
      </c>
      <c r="AM34" s="617">
        <v>6840</v>
      </c>
      <c r="AN34" s="617">
        <v>6840</v>
      </c>
      <c r="AO34" s="617">
        <v>6840</v>
      </c>
      <c r="AP34" s="617">
        <v>6840</v>
      </c>
      <c r="AQ34" s="617">
        <v>6840</v>
      </c>
      <c r="AR34" s="613" t="s">
        <v>3353</v>
      </c>
      <c r="AS34" s="613" t="s">
        <v>1521</v>
      </c>
      <c r="AT34" s="613" t="s">
        <v>1036</v>
      </c>
      <c r="AU34" s="613" t="s">
        <v>1521</v>
      </c>
      <c r="AV34" s="613" t="s">
        <v>1036</v>
      </c>
      <c r="AW34" s="613" t="s">
        <v>1512</v>
      </c>
      <c r="AX34" s="613" t="s">
        <v>3312</v>
      </c>
      <c r="AY34" s="619">
        <v>46125</v>
      </c>
      <c r="AZ34" s="620">
        <v>46122</v>
      </c>
      <c r="BA34" s="613"/>
      <c r="BB34" s="620">
        <v>46139</v>
      </c>
      <c r="BC34" s="622" t="s">
        <v>3370</v>
      </c>
      <c r="BD34" s="660" t="s">
        <v>3339</v>
      </c>
      <c r="BF34" s="521">
        <f t="shared" si="7"/>
        <v>20520</v>
      </c>
    </row>
    <row r="35" s="521" customFormat="1" ht="35.25" hidden="1" customHeight="1" spans="1:58">
      <c r="A35" s="612">
        <f t="shared" si="6"/>
        <v>31</v>
      </c>
      <c r="B35" s="48" t="s">
        <v>209</v>
      </c>
      <c r="C35" s="49" t="s">
        <v>3306</v>
      </c>
      <c r="D35" s="51" t="s">
        <v>3371</v>
      </c>
      <c r="E35" s="51" t="s">
        <v>3372</v>
      </c>
      <c r="F35" s="56">
        <v>46056</v>
      </c>
      <c r="G35" s="56">
        <v>46125</v>
      </c>
      <c r="H35" s="56">
        <v>46125</v>
      </c>
      <c r="I35" s="614">
        <v>46064</v>
      </c>
      <c r="J35" s="615">
        <f t="shared" si="1"/>
        <v>10800</v>
      </c>
      <c r="K35" s="616">
        <v>24</v>
      </c>
      <c r="L35" s="617"/>
      <c r="M35" s="617"/>
      <c r="N35" s="617"/>
      <c r="O35" s="617"/>
      <c r="P35" s="617"/>
      <c r="Q35" s="617"/>
      <c r="R35" s="617"/>
      <c r="S35" s="617"/>
      <c r="T35" s="617"/>
      <c r="U35" s="617"/>
      <c r="V35" s="617"/>
      <c r="W35" s="617"/>
      <c r="X35" s="617"/>
      <c r="Y35" s="617"/>
      <c r="Z35" s="617"/>
      <c r="AA35" s="617"/>
      <c r="AB35" s="617"/>
      <c r="AC35" s="617"/>
      <c r="AD35" s="617"/>
      <c r="AE35" s="617"/>
      <c r="AF35" s="617"/>
      <c r="AG35" s="617"/>
      <c r="AH35" s="617"/>
      <c r="AI35" s="617"/>
      <c r="AJ35" s="617"/>
      <c r="AK35" s="617"/>
      <c r="AL35" s="617">
        <v>1800</v>
      </c>
      <c r="AM35" s="617">
        <v>1800</v>
      </c>
      <c r="AN35" s="617">
        <v>1800</v>
      </c>
      <c r="AO35" s="617">
        <v>1800</v>
      </c>
      <c r="AP35" s="617">
        <v>1800</v>
      </c>
      <c r="AQ35" s="617">
        <v>1800</v>
      </c>
      <c r="AR35" s="613" t="s">
        <v>3353</v>
      </c>
      <c r="AS35" s="613" t="s">
        <v>1521</v>
      </c>
      <c r="AT35" s="613" t="s">
        <v>1036</v>
      </c>
      <c r="AU35" s="613" t="s">
        <v>1521</v>
      </c>
      <c r="AV35" s="613" t="s">
        <v>1036</v>
      </c>
      <c r="AW35" s="613" t="s">
        <v>1512</v>
      </c>
      <c r="AX35" s="613" t="s">
        <v>3312</v>
      </c>
      <c r="AY35" s="619">
        <v>46125</v>
      </c>
      <c r="AZ35" s="620">
        <v>46122</v>
      </c>
      <c r="BA35" s="613"/>
      <c r="BB35" s="620">
        <v>46139</v>
      </c>
      <c r="BC35" s="622" t="s">
        <v>3373</v>
      </c>
      <c r="BD35" s="660" t="s">
        <v>3339</v>
      </c>
      <c r="BF35" s="521">
        <f t="shared" si="7"/>
        <v>5400</v>
      </c>
    </row>
    <row r="36" s="521" customFormat="1" ht="35.25" hidden="1" customHeight="1" spans="1:58">
      <c r="A36" s="612">
        <f t="shared" si="6"/>
        <v>32</v>
      </c>
      <c r="B36" s="48" t="s">
        <v>209</v>
      </c>
      <c r="C36" s="49" t="s">
        <v>3306</v>
      </c>
      <c r="D36" s="51" t="s">
        <v>3374</v>
      </c>
      <c r="E36" s="51" t="s">
        <v>3375</v>
      </c>
      <c r="F36" s="56">
        <v>46063</v>
      </c>
      <c r="G36" s="56">
        <v>46135</v>
      </c>
      <c r="H36" s="56">
        <v>46135</v>
      </c>
      <c r="I36" s="614">
        <v>46064</v>
      </c>
      <c r="J36" s="615">
        <f t="shared" si="1"/>
        <v>4320</v>
      </c>
      <c r="K36" s="616">
        <v>24</v>
      </c>
      <c r="L36" s="617"/>
      <c r="M36" s="617"/>
      <c r="N36" s="617"/>
      <c r="O36" s="617"/>
      <c r="P36" s="617"/>
      <c r="Q36" s="617"/>
      <c r="R36" s="617"/>
      <c r="S36" s="617"/>
      <c r="T36" s="617"/>
      <c r="U36" s="617"/>
      <c r="V36" s="617"/>
      <c r="W36" s="617"/>
      <c r="X36" s="617"/>
      <c r="Y36" s="617"/>
      <c r="Z36" s="617"/>
      <c r="AA36" s="617"/>
      <c r="AB36" s="617"/>
      <c r="AC36" s="617"/>
      <c r="AD36" s="617"/>
      <c r="AE36" s="617"/>
      <c r="AF36" s="617"/>
      <c r="AG36" s="617"/>
      <c r="AH36" s="617"/>
      <c r="AI36" s="617"/>
      <c r="AJ36" s="617"/>
      <c r="AK36" s="617"/>
      <c r="AL36" s="617">
        <v>720</v>
      </c>
      <c r="AM36" s="617">
        <v>720</v>
      </c>
      <c r="AN36" s="617">
        <v>720</v>
      </c>
      <c r="AO36" s="617">
        <v>720</v>
      </c>
      <c r="AP36" s="617">
        <v>720</v>
      </c>
      <c r="AQ36" s="617">
        <v>720</v>
      </c>
      <c r="AR36" s="613" t="s">
        <v>3353</v>
      </c>
      <c r="AS36" s="613" t="s">
        <v>1521</v>
      </c>
      <c r="AT36" s="613" t="s">
        <v>1036</v>
      </c>
      <c r="AU36" s="613" t="s">
        <v>1521</v>
      </c>
      <c r="AV36" s="613" t="s">
        <v>1036</v>
      </c>
      <c r="AW36" s="613" t="s">
        <v>1512</v>
      </c>
      <c r="AX36" s="613" t="s">
        <v>3312</v>
      </c>
      <c r="AY36" s="619">
        <v>46135</v>
      </c>
      <c r="AZ36" s="620">
        <v>46135</v>
      </c>
      <c r="BA36" s="613"/>
      <c r="BB36" s="620">
        <v>46149</v>
      </c>
      <c r="BC36" s="622" t="s">
        <v>3376</v>
      </c>
      <c r="BD36" s="660" t="s">
        <v>3339</v>
      </c>
      <c r="BF36" s="521">
        <f t="shared" si="7"/>
        <v>2160</v>
      </c>
    </row>
    <row r="37" s="521" customFormat="1" ht="35.25" hidden="1" customHeight="1" spans="1:58">
      <c r="A37" s="612">
        <f t="shared" ref="A37:A48" si="8">ROW()-4</f>
        <v>33</v>
      </c>
      <c r="B37" s="48" t="s">
        <v>209</v>
      </c>
      <c r="C37" s="49" t="s">
        <v>3306</v>
      </c>
      <c r="D37" s="51" t="s">
        <v>3377</v>
      </c>
      <c r="E37" s="51" t="s">
        <v>3378</v>
      </c>
      <c r="F37" s="56">
        <v>46085</v>
      </c>
      <c r="G37" s="56">
        <v>46150</v>
      </c>
      <c r="H37" s="56">
        <v>46150</v>
      </c>
      <c r="I37" s="614">
        <v>46091</v>
      </c>
      <c r="J37" s="615">
        <f t="shared" si="1"/>
        <v>23760</v>
      </c>
      <c r="K37" s="616">
        <v>24</v>
      </c>
      <c r="L37" s="617"/>
      <c r="M37" s="617"/>
      <c r="N37" s="617"/>
      <c r="O37" s="617"/>
      <c r="P37" s="617"/>
      <c r="Q37" s="617"/>
      <c r="R37" s="617"/>
      <c r="S37" s="617"/>
      <c r="T37" s="617"/>
      <c r="U37" s="617"/>
      <c r="V37" s="617"/>
      <c r="W37" s="617"/>
      <c r="X37" s="617"/>
      <c r="Y37" s="617"/>
      <c r="Z37" s="617"/>
      <c r="AA37" s="617"/>
      <c r="AB37" s="617"/>
      <c r="AC37" s="617"/>
      <c r="AD37" s="617"/>
      <c r="AE37" s="617"/>
      <c r="AF37" s="617"/>
      <c r="AG37" s="617"/>
      <c r="AH37" s="617"/>
      <c r="AI37" s="617"/>
      <c r="AJ37" s="617"/>
      <c r="AK37" s="617"/>
      <c r="AL37" s="617">
        <v>3960</v>
      </c>
      <c r="AM37" s="617">
        <v>3960</v>
      </c>
      <c r="AN37" s="617">
        <v>3960</v>
      </c>
      <c r="AO37" s="617">
        <v>3960</v>
      </c>
      <c r="AP37" s="617">
        <v>3960</v>
      </c>
      <c r="AQ37" s="617">
        <v>3960</v>
      </c>
      <c r="AR37" s="613" t="s">
        <v>3379</v>
      </c>
      <c r="AS37" s="613" t="s">
        <v>129</v>
      </c>
      <c r="AT37" s="613" t="s">
        <v>444</v>
      </c>
      <c r="AU37" s="613" t="s">
        <v>129</v>
      </c>
      <c r="AV37" s="613" t="s">
        <v>1066</v>
      </c>
      <c r="AW37" s="613" t="s">
        <v>127</v>
      </c>
      <c r="AX37" s="613" t="s">
        <v>3312</v>
      </c>
      <c r="AY37" s="619">
        <v>46150</v>
      </c>
      <c r="AZ37" s="620">
        <v>46149</v>
      </c>
      <c r="BA37" s="613"/>
      <c r="BB37" s="620">
        <v>46161</v>
      </c>
      <c r="BC37" s="622" t="s">
        <v>3380</v>
      </c>
      <c r="BD37" s="660" t="s">
        <v>3339</v>
      </c>
      <c r="BF37" s="521">
        <f t="shared" si="7"/>
        <v>11880</v>
      </c>
    </row>
    <row r="38" s="521" customFormat="1" ht="35.25" hidden="1" customHeight="1" spans="1:58">
      <c r="A38" s="612">
        <f t="shared" si="8"/>
        <v>34</v>
      </c>
      <c r="B38" s="48" t="s">
        <v>209</v>
      </c>
      <c r="C38" s="49" t="s">
        <v>3306</v>
      </c>
      <c r="D38" s="51" t="s">
        <v>3381</v>
      </c>
      <c r="E38" s="51" t="s">
        <v>3382</v>
      </c>
      <c r="F38" s="56">
        <v>46085</v>
      </c>
      <c r="G38" s="56">
        <v>46150</v>
      </c>
      <c r="H38" s="56">
        <v>46150</v>
      </c>
      <c r="I38" s="614">
        <v>46091</v>
      </c>
      <c r="J38" s="615">
        <f t="shared" si="1"/>
        <v>43200</v>
      </c>
      <c r="K38" s="616">
        <v>24</v>
      </c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17"/>
      <c r="AB38" s="617"/>
      <c r="AC38" s="617"/>
      <c r="AD38" s="617"/>
      <c r="AE38" s="617"/>
      <c r="AF38" s="617"/>
      <c r="AG38" s="617"/>
      <c r="AH38" s="617"/>
      <c r="AI38" s="617"/>
      <c r="AJ38" s="617"/>
      <c r="AK38" s="617"/>
      <c r="AL38" s="617">
        <v>7200</v>
      </c>
      <c r="AM38" s="617">
        <v>7200</v>
      </c>
      <c r="AN38" s="617">
        <v>7200</v>
      </c>
      <c r="AO38" s="617">
        <v>7200</v>
      </c>
      <c r="AP38" s="617">
        <v>7200</v>
      </c>
      <c r="AQ38" s="617">
        <v>7200</v>
      </c>
      <c r="AR38" s="613" t="s">
        <v>3379</v>
      </c>
      <c r="AS38" s="613" t="s">
        <v>129</v>
      </c>
      <c r="AT38" s="613" t="s">
        <v>444</v>
      </c>
      <c r="AU38" s="613" t="s">
        <v>129</v>
      </c>
      <c r="AV38" s="613" t="s">
        <v>1066</v>
      </c>
      <c r="AW38" s="613" t="s">
        <v>127</v>
      </c>
      <c r="AX38" s="613" t="s">
        <v>3312</v>
      </c>
      <c r="AY38" s="619">
        <v>46150</v>
      </c>
      <c r="AZ38" s="620">
        <v>46149</v>
      </c>
      <c r="BA38" s="613"/>
      <c r="BB38" s="620">
        <v>46163</v>
      </c>
      <c r="BC38" s="1292" t="s">
        <v>3383</v>
      </c>
      <c r="BD38" s="660" t="s">
        <v>3339</v>
      </c>
      <c r="BF38" s="521">
        <f t="shared" si="7"/>
        <v>21600</v>
      </c>
    </row>
    <row r="39" s="521" customFormat="1" ht="35.25" hidden="1" customHeight="1" spans="1:58">
      <c r="A39" s="612">
        <f t="shared" si="8"/>
        <v>35</v>
      </c>
      <c r="B39" s="48" t="s">
        <v>209</v>
      </c>
      <c r="C39" s="49" t="s">
        <v>3306</v>
      </c>
      <c r="D39" s="51" t="s">
        <v>3384</v>
      </c>
      <c r="E39" s="51" t="s">
        <v>3385</v>
      </c>
      <c r="F39" s="56">
        <v>46085</v>
      </c>
      <c r="G39" s="56">
        <v>46150</v>
      </c>
      <c r="H39" s="56">
        <v>46150</v>
      </c>
      <c r="I39" s="614">
        <v>46091</v>
      </c>
      <c r="J39" s="615">
        <f t="shared" si="1"/>
        <v>25920</v>
      </c>
      <c r="K39" s="616">
        <v>24</v>
      </c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17"/>
      <c r="AB39" s="617"/>
      <c r="AC39" s="617"/>
      <c r="AD39" s="617"/>
      <c r="AE39" s="617"/>
      <c r="AF39" s="617"/>
      <c r="AG39" s="617"/>
      <c r="AH39" s="617"/>
      <c r="AI39" s="617"/>
      <c r="AJ39" s="617"/>
      <c r="AK39" s="617"/>
      <c r="AL39" s="617">
        <v>4320</v>
      </c>
      <c r="AM39" s="617">
        <v>4320</v>
      </c>
      <c r="AN39" s="617">
        <v>4320</v>
      </c>
      <c r="AO39" s="617">
        <v>4320</v>
      </c>
      <c r="AP39" s="617">
        <v>4320</v>
      </c>
      <c r="AQ39" s="617">
        <v>4320</v>
      </c>
      <c r="AR39" s="613" t="s">
        <v>3379</v>
      </c>
      <c r="AS39" s="613" t="s">
        <v>129</v>
      </c>
      <c r="AT39" s="613" t="s">
        <v>444</v>
      </c>
      <c r="AU39" s="613" t="s">
        <v>129</v>
      </c>
      <c r="AV39" s="613" t="s">
        <v>1066</v>
      </c>
      <c r="AW39" s="613" t="s">
        <v>127</v>
      </c>
      <c r="AX39" s="613" t="s">
        <v>3312</v>
      </c>
      <c r="AY39" s="619">
        <v>46150</v>
      </c>
      <c r="AZ39" s="620">
        <v>46149</v>
      </c>
      <c r="BA39" s="620"/>
      <c r="BB39" s="620">
        <v>46161</v>
      </c>
      <c r="BC39" s="622" t="s">
        <v>3386</v>
      </c>
      <c r="BD39" s="660" t="s">
        <v>3339</v>
      </c>
      <c r="BF39" s="521">
        <f t="shared" si="7"/>
        <v>12960</v>
      </c>
    </row>
    <row r="40" s="521" customFormat="1" ht="35.25" hidden="1" customHeight="1" spans="1:58">
      <c r="A40" s="612">
        <f t="shared" si="8"/>
        <v>36</v>
      </c>
      <c r="B40" s="48" t="s">
        <v>209</v>
      </c>
      <c r="C40" s="49" t="s">
        <v>3306</v>
      </c>
      <c r="D40" s="51" t="s">
        <v>3387</v>
      </c>
      <c r="E40" s="51" t="s">
        <v>3388</v>
      </c>
      <c r="F40" s="56">
        <v>46085</v>
      </c>
      <c r="G40" s="56">
        <v>46150</v>
      </c>
      <c r="H40" s="56">
        <v>46150</v>
      </c>
      <c r="I40" s="614">
        <v>46091</v>
      </c>
      <c r="J40" s="615">
        <f t="shared" si="1"/>
        <v>28080</v>
      </c>
      <c r="K40" s="616">
        <v>24</v>
      </c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617"/>
      <c r="AB40" s="617"/>
      <c r="AC40" s="617"/>
      <c r="AD40" s="617"/>
      <c r="AE40" s="617"/>
      <c r="AF40" s="617"/>
      <c r="AG40" s="617"/>
      <c r="AH40" s="617"/>
      <c r="AI40" s="617"/>
      <c r="AJ40" s="617"/>
      <c r="AK40" s="617"/>
      <c r="AL40" s="617">
        <v>4680</v>
      </c>
      <c r="AM40" s="617">
        <v>4680</v>
      </c>
      <c r="AN40" s="617">
        <v>4680</v>
      </c>
      <c r="AO40" s="617">
        <v>4680</v>
      </c>
      <c r="AP40" s="617">
        <v>4680</v>
      </c>
      <c r="AQ40" s="617">
        <v>4680</v>
      </c>
      <c r="AR40" s="613" t="s">
        <v>3379</v>
      </c>
      <c r="AS40" s="613" t="s">
        <v>129</v>
      </c>
      <c r="AT40" s="613" t="s">
        <v>444</v>
      </c>
      <c r="AU40" s="613" t="s">
        <v>129</v>
      </c>
      <c r="AV40" s="613" t="s">
        <v>1066</v>
      </c>
      <c r="AW40" s="613" t="s">
        <v>127</v>
      </c>
      <c r="AX40" s="613" t="s">
        <v>3312</v>
      </c>
      <c r="AY40" s="619">
        <v>46150</v>
      </c>
      <c r="AZ40" s="620">
        <v>46149</v>
      </c>
      <c r="BA40" s="620"/>
      <c r="BB40" s="620">
        <v>46158</v>
      </c>
      <c r="BC40" s="622" t="s">
        <v>3389</v>
      </c>
      <c r="BD40" s="660" t="s">
        <v>3339</v>
      </c>
      <c r="BF40" s="521">
        <f t="shared" si="7"/>
        <v>14040</v>
      </c>
    </row>
    <row r="41" s="521" customFormat="1" ht="35.25" hidden="1" customHeight="1" spans="1:58">
      <c r="A41" s="612">
        <f t="shared" si="8"/>
        <v>37</v>
      </c>
      <c r="B41" s="48" t="s">
        <v>209</v>
      </c>
      <c r="C41" s="49" t="s">
        <v>3306</v>
      </c>
      <c r="D41" s="51" t="s">
        <v>3390</v>
      </c>
      <c r="E41" s="51" t="s">
        <v>3391</v>
      </c>
      <c r="F41" s="56">
        <v>46085</v>
      </c>
      <c r="G41" s="56">
        <v>46150</v>
      </c>
      <c r="H41" s="56">
        <v>46150</v>
      </c>
      <c r="I41" s="614">
        <v>46091</v>
      </c>
      <c r="J41" s="615">
        <f t="shared" si="1"/>
        <v>6480</v>
      </c>
      <c r="K41" s="616">
        <v>24</v>
      </c>
      <c r="L41" s="617"/>
      <c r="M41" s="617"/>
      <c r="N41" s="617"/>
      <c r="O41" s="617"/>
      <c r="P41" s="617"/>
      <c r="Q41" s="617"/>
      <c r="R41" s="617"/>
      <c r="S41" s="617"/>
      <c r="T41" s="617"/>
      <c r="U41" s="617"/>
      <c r="V41" s="617"/>
      <c r="W41" s="617"/>
      <c r="X41" s="617"/>
      <c r="Y41" s="617"/>
      <c r="Z41" s="617"/>
      <c r="AA41" s="617"/>
      <c r="AB41" s="617"/>
      <c r="AC41" s="617"/>
      <c r="AD41" s="617"/>
      <c r="AE41" s="617"/>
      <c r="AF41" s="617"/>
      <c r="AG41" s="617"/>
      <c r="AH41" s="617"/>
      <c r="AI41" s="617"/>
      <c r="AJ41" s="617"/>
      <c r="AK41" s="617"/>
      <c r="AL41" s="617">
        <v>1080</v>
      </c>
      <c r="AM41" s="617">
        <v>1080</v>
      </c>
      <c r="AN41" s="617">
        <v>1080</v>
      </c>
      <c r="AO41" s="617">
        <v>1080</v>
      </c>
      <c r="AP41" s="617">
        <v>1080</v>
      </c>
      <c r="AQ41" s="617">
        <v>1080</v>
      </c>
      <c r="AR41" s="613" t="s">
        <v>3379</v>
      </c>
      <c r="AS41" s="613" t="s">
        <v>129</v>
      </c>
      <c r="AT41" s="613" t="s">
        <v>444</v>
      </c>
      <c r="AU41" s="613" t="s">
        <v>129</v>
      </c>
      <c r="AV41" s="613" t="s">
        <v>1066</v>
      </c>
      <c r="AW41" s="613" t="s">
        <v>127</v>
      </c>
      <c r="AX41" s="613" t="s">
        <v>3312</v>
      </c>
      <c r="AY41" s="619">
        <v>46150</v>
      </c>
      <c r="AZ41" s="620">
        <v>46149</v>
      </c>
      <c r="BA41" s="620"/>
      <c r="BB41" s="620">
        <v>46167</v>
      </c>
      <c r="BC41" s="622" t="s">
        <v>3392</v>
      </c>
      <c r="BD41" s="660" t="s">
        <v>3339</v>
      </c>
      <c r="BF41" s="521">
        <f t="shared" si="7"/>
        <v>3240</v>
      </c>
    </row>
    <row r="42" s="521" customFormat="1" ht="35.25" hidden="1" customHeight="1" spans="1:58">
      <c r="A42" s="612">
        <f t="shared" si="8"/>
        <v>38</v>
      </c>
      <c r="B42" s="48" t="s">
        <v>209</v>
      </c>
      <c r="C42" s="49" t="s">
        <v>3306</v>
      </c>
      <c r="D42" s="51" t="s">
        <v>3393</v>
      </c>
      <c r="E42" s="51" t="s">
        <v>3394</v>
      </c>
      <c r="F42" s="56">
        <v>46085</v>
      </c>
      <c r="G42" s="56">
        <v>46150</v>
      </c>
      <c r="H42" s="56">
        <v>46150</v>
      </c>
      <c r="I42" s="614">
        <v>46091</v>
      </c>
      <c r="J42" s="615">
        <f t="shared" si="1"/>
        <v>32400</v>
      </c>
      <c r="K42" s="616">
        <v>24</v>
      </c>
      <c r="L42" s="617"/>
      <c r="M42" s="617"/>
      <c r="N42" s="617"/>
      <c r="O42" s="617"/>
      <c r="P42" s="617"/>
      <c r="Q42" s="617"/>
      <c r="R42" s="617"/>
      <c r="S42" s="617"/>
      <c r="T42" s="617"/>
      <c r="U42" s="617"/>
      <c r="V42" s="617"/>
      <c r="W42" s="617"/>
      <c r="X42" s="617"/>
      <c r="Y42" s="617"/>
      <c r="Z42" s="617"/>
      <c r="AA42" s="617"/>
      <c r="AB42" s="617"/>
      <c r="AC42" s="617"/>
      <c r="AD42" s="617"/>
      <c r="AE42" s="617"/>
      <c r="AF42" s="617"/>
      <c r="AG42" s="617"/>
      <c r="AH42" s="617"/>
      <c r="AI42" s="617"/>
      <c r="AJ42" s="617"/>
      <c r="AK42" s="617"/>
      <c r="AL42" s="617">
        <v>5400</v>
      </c>
      <c r="AM42" s="617">
        <v>5400</v>
      </c>
      <c r="AN42" s="617">
        <v>5400</v>
      </c>
      <c r="AO42" s="617">
        <v>5400</v>
      </c>
      <c r="AP42" s="617">
        <v>5400</v>
      </c>
      <c r="AQ42" s="617">
        <v>5400</v>
      </c>
      <c r="AR42" s="613" t="s">
        <v>3379</v>
      </c>
      <c r="AS42" s="613" t="s">
        <v>129</v>
      </c>
      <c r="AT42" s="613" t="s">
        <v>444</v>
      </c>
      <c r="AU42" s="613" t="s">
        <v>129</v>
      </c>
      <c r="AV42" s="613" t="s">
        <v>1066</v>
      </c>
      <c r="AW42" s="613" t="s">
        <v>127</v>
      </c>
      <c r="AX42" s="613" t="s">
        <v>3312</v>
      </c>
      <c r="AY42" s="619">
        <v>46150</v>
      </c>
      <c r="AZ42" s="620">
        <v>46149</v>
      </c>
      <c r="BA42" s="620"/>
      <c r="BB42" s="620">
        <v>46163</v>
      </c>
      <c r="BC42" s="622" t="s">
        <v>3395</v>
      </c>
      <c r="BD42" s="660" t="s">
        <v>3339</v>
      </c>
      <c r="BF42" s="521">
        <f t="shared" si="7"/>
        <v>16200</v>
      </c>
    </row>
    <row r="43" s="521" customFormat="1" ht="35.25" hidden="1" customHeight="1" spans="1:58">
      <c r="A43" s="612">
        <f t="shared" si="8"/>
        <v>39</v>
      </c>
      <c r="B43" s="48" t="s">
        <v>209</v>
      </c>
      <c r="C43" s="49" t="s">
        <v>3306</v>
      </c>
      <c r="D43" s="51" t="s">
        <v>3396</v>
      </c>
      <c r="E43" s="51" t="s">
        <v>3397</v>
      </c>
      <c r="F43" s="56">
        <v>46085</v>
      </c>
      <c r="G43" s="56">
        <v>46150</v>
      </c>
      <c r="H43" s="56">
        <v>46150</v>
      </c>
      <c r="I43" s="614">
        <v>46091</v>
      </c>
      <c r="J43" s="615">
        <f t="shared" si="1"/>
        <v>32400</v>
      </c>
      <c r="K43" s="616">
        <v>24</v>
      </c>
      <c r="L43" s="617"/>
      <c r="M43" s="617"/>
      <c r="N43" s="617"/>
      <c r="O43" s="617"/>
      <c r="P43" s="617"/>
      <c r="Q43" s="617"/>
      <c r="R43" s="617"/>
      <c r="S43" s="617"/>
      <c r="T43" s="617"/>
      <c r="U43" s="617"/>
      <c r="V43" s="617"/>
      <c r="W43" s="617"/>
      <c r="X43" s="617"/>
      <c r="Y43" s="617"/>
      <c r="Z43" s="617"/>
      <c r="AA43" s="617"/>
      <c r="AB43" s="617"/>
      <c r="AC43" s="617"/>
      <c r="AD43" s="617"/>
      <c r="AE43" s="617"/>
      <c r="AF43" s="617"/>
      <c r="AG43" s="617"/>
      <c r="AH43" s="617"/>
      <c r="AI43" s="617"/>
      <c r="AJ43" s="617"/>
      <c r="AK43" s="617"/>
      <c r="AL43" s="617">
        <v>5400</v>
      </c>
      <c r="AM43" s="617">
        <v>5400</v>
      </c>
      <c r="AN43" s="617">
        <v>5400</v>
      </c>
      <c r="AO43" s="617">
        <v>5400</v>
      </c>
      <c r="AP43" s="617">
        <v>5400</v>
      </c>
      <c r="AQ43" s="617">
        <v>5400</v>
      </c>
      <c r="AR43" s="613" t="s">
        <v>3379</v>
      </c>
      <c r="AS43" s="613" t="s">
        <v>129</v>
      </c>
      <c r="AT43" s="613" t="s">
        <v>444</v>
      </c>
      <c r="AU43" s="613" t="s">
        <v>129</v>
      </c>
      <c r="AV43" s="613" t="s">
        <v>1066</v>
      </c>
      <c r="AW43" s="613" t="s">
        <v>127</v>
      </c>
      <c r="AX43" s="613" t="s">
        <v>3312</v>
      </c>
      <c r="AY43" s="619">
        <v>46150</v>
      </c>
      <c r="AZ43" s="620">
        <v>46149</v>
      </c>
      <c r="BA43" s="620"/>
      <c r="BB43" s="620">
        <v>46168</v>
      </c>
      <c r="BC43" s="622" t="s">
        <v>3398</v>
      </c>
      <c r="BD43" s="660" t="s">
        <v>3339</v>
      </c>
      <c r="BF43" s="521">
        <f t="shared" si="7"/>
        <v>16200</v>
      </c>
    </row>
    <row r="44" s="521" customFormat="1" ht="35.25" hidden="1" customHeight="1" spans="1:58">
      <c r="A44" s="612">
        <f t="shared" si="8"/>
        <v>40</v>
      </c>
      <c r="B44" s="48" t="s">
        <v>209</v>
      </c>
      <c r="C44" s="49" t="s">
        <v>3306</v>
      </c>
      <c r="D44" s="51" t="s">
        <v>3399</v>
      </c>
      <c r="E44" s="51" t="s">
        <v>3400</v>
      </c>
      <c r="F44" s="56">
        <v>46085</v>
      </c>
      <c r="G44" s="56">
        <v>46150</v>
      </c>
      <c r="H44" s="56">
        <v>46150</v>
      </c>
      <c r="I44" s="614">
        <v>46094</v>
      </c>
      <c r="J44" s="615">
        <f t="shared" si="1"/>
        <v>19440</v>
      </c>
      <c r="K44" s="616">
        <v>24</v>
      </c>
      <c r="L44" s="617"/>
      <c r="M44" s="617"/>
      <c r="N44" s="617"/>
      <c r="O44" s="617"/>
      <c r="P44" s="617"/>
      <c r="Q44" s="617"/>
      <c r="R44" s="617"/>
      <c r="S44" s="617"/>
      <c r="T44" s="617"/>
      <c r="U44" s="617"/>
      <c r="V44" s="617"/>
      <c r="W44" s="617"/>
      <c r="X44" s="617"/>
      <c r="Y44" s="617"/>
      <c r="Z44" s="617"/>
      <c r="AA44" s="617"/>
      <c r="AB44" s="617"/>
      <c r="AC44" s="617"/>
      <c r="AD44" s="617"/>
      <c r="AE44" s="617"/>
      <c r="AF44" s="617"/>
      <c r="AG44" s="617"/>
      <c r="AH44" s="617"/>
      <c r="AI44" s="617"/>
      <c r="AJ44" s="617"/>
      <c r="AK44" s="617"/>
      <c r="AL44" s="617">
        <v>3240</v>
      </c>
      <c r="AM44" s="617">
        <v>3240</v>
      </c>
      <c r="AN44" s="617">
        <v>3240</v>
      </c>
      <c r="AO44" s="617">
        <v>3240</v>
      </c>
      <c r="AP44" s="617">
        <v>3240</v>
      </c>
      <c r="AQ44" s="617">
        <v>3240</v>
      </c>
      <c r="AR44" s="613" t="s">
        <v>3379</v>
      </c>
      <c r="AS44" s="613" t="s">
        <v>129</v>
      </c>
      <c r="AT44" s="613" t="s">
        <v>444</v>
      </c>
      <c r="AU44" s="613" t="s">
        <v>129</v>
      </c>
      <c r="AV44" s="613" t="s">
        <v>1066</v>
      </c>
      <c r="AW44" s="613" t="s">
        <v>127</v>
      </c>
      <c r="AX44" s="613" t="s">
        <v>3312</v>
      </c>
      <c r="AY44" s="619">
        <v>46150</v>
      </c>
      <c r="AZ44" s="620">
        <v>46149</v>
      </c>
      <c r="BA44" s="620"/>
      <c r="BB44" s="620">
        <v>46161</v>
      </c>
      <c r="BC44" s="622" t="s">
        <v>3401</v>
      </c>
      <c r="BD44" s="660" t="s">
        <v>3339</v>
      </c>
      <c r="BF44" s="521">
        <f t="shared" si="7"/>
        <v>9720</v>
      </c>
    </row>
    <row r="45" s="521" customFormat="1" ht="35.25" hidden="1" customHeight="1" spans="1:58">
      <c r="A45" s="612">
        <f t="shared" si="8"/>
        <v>41</v>
      </c>
      <c r="B45" s="48" t="s">
        <v>209</v>
      </c>
      <c r="C45" s="49" t="s">
        <v>3306</v>
      </c>
      <c r="D45" s="51" t="s">
        <v>3402</v>
      </c>
      <c r="E45" s="51" t="s">
        <v>3403</v>
      </c>
      <c r="F45" s="56">
        <v>46085</v>
      </c>
      <c r="G45" s="56">
        <v>46150</v>
      </c>
      <c r="H45" s="56">
        <v>46150</v>
      </c>
      <c r="I45" s="614">
        <v>46094</v>
      </c>
      <c r="J45" s="615">
        <f t="shared" si="1"/>
        <v>6480</v>
      </c>
      <c r="K45" s="616">
        <v>24</v>
      </c>
      <c r="L45" s="617"/>
      <c r="M45" s="617"/>
      <c r="N45" s="617"/>
      <c r="O45" s="617"/>
      <c r="P45" s="617"/>
      <c r="Q45" s="617"/>
      <c r="R45" s="617"/>
      <c r="S45" s="617"/>
      <c r="T45" s="617"/>
      <c r="U45" s="617"/>
      <c r="V45" s="617"/>
      <c r="W45" s="617"/>
      <c r="X45" s="617"/>
      <c r="Y45" s="617"/>
      <c r="Z45" s="617"/>
      <c r="AA45" s="617"/>
      <c r="AB45" s="617"/>
      <c r="AC45" s="617"/>
      <c r="AD45" s="617"/>
      <c r="AE45" s="617"/>
      <c r="AF45" s="617"/>
      <c r="AG45" s="617"/>
      <c r="AH45" s="617"/>
      <c r="AI45" s="617"/>
      <c r="AJ45" s="617"/>
      <c r="AK45" s="617"/>
      <c r="AL45" s="617">
        <v>1080</v>
      </c>
      <c r="AM45" s="617">
        <v>1080</v>
      </c>
      <c r="AN45" s="617">
        <v>1080</v>
      </c>
      <c r="AO45" s="617">
        <v>1080</v>
      </c>
      <c r="AP45" s="617">
        <v>1080</v>
      </c>
      <c r="AQ45" s="617">
        <v>1080</v>
      </c>
      <c r="AR45" s="613" t="s">
        <v>3379</v>
      </c>
      <c r="AS45" s="613" t="s">
        <v>129</v>
      </c>
      <c r="AT45" s="613" t="s">
        <v>444</v>
      </c>
      <c r="AU45" s="613" t="s">
        <v>129</v>
      </c>
      <c r="AV45" s="613" t="s">
        <v>1066</v>
      </c>
      <c r="AW45" s="613" t="s">
        <v>127</v>
      </c>
      <c r="AX45" s="613" t="s">
        <v>3312</v>
      </c>
      <c r="AY45" s="619">
        <v>46150</v>
      </c>
      <c r="AZ45" s="620">
        <v>46149</v>
      </c>
      <c r="BA45" s="620"/>
      <c r="BB45" s="620">
        <v>46158</v>
      </c>
      <c r="BC45" s="1292" t="s">
        <v>3404</v>
      </c>
      <c r="BD45" s="660" t="s">
        <v>3339</v>
      </c>
      <c r="BF45" s="521">
        <f t="shared" si="7"/>
        <v>3240</v>
      </c>
    </row>
    <row r="46" s="521" customFormat="1" ht="35.25" hidden="1" customHeight="1" spans="1:58">
      <c r="A46" s="612">
        <f t="shared" si="8"/>
        <v>42</v>
      </c>
      <c r="B46" s="48" t="s">
        <v>209</v>
      </c>
      <c r="C46" s="49" t="s">
        <v>3306</v>
      </c>
      <c r="D46" s="51" t="s">
        <v>3405</v>
      </c>
      <c r="E46" s="51" t="s">
        <v>3406</v>
      </c>
      <c r="F46" s="56">
        <v>46085</v>
      </c>
      <c r="G46" s="56">
        <v>46150</v>
      </c>
      <c r="H46" s="56">
        <v>46150</v>
      </c>
      <c r="I46" s="614">
        <v>46094</v>
      </c>
      <c r="J46" s="615">
        <f t="shared" si="1"/>
        <v>25920</v>
      </c>
      <c r="K46" s="616">
        <v>24</v>
      </c>
      <c r="L46" s="617"/>
      <c r="M46" s="617"/>
      <c r="N46" s="617"/>
      <c r="O46" s="617"/>
      <c r="P46" s="617"/>
      <c r="Q46" s="617"/>
      <c r="R46" s="617"/>
      <c r="S46" s="617"/>
      <c r="T46" s="617"/>
      <c r="U46" s="617"/>
      <c r="V46" s="617"/>
      <c r="W46" s="617"/>
      <c r="X46" s="617"/>
      <c r="Y46" s="617"/>
      <c r="Z46" s="617"/>
      <c r="AA46" s="617"/>
      <c r="AB46" s="617"/>
      <c r="AC46" s="617"/>
      <c r="AD46" s="617"/>
      <c r="AE46" s="617"/>
      <c r="AF46" s="617"/>
      <c r="AG46" s="617"/>
      <c r="AH46" s="617"/>
      <c r="AI46" s="617"/>
      <c r="AJ46" s="617"/>
      <c r="AK46" s="617"/>
      <c r="AL46" s="617">
        <v>4320</v>
      </c>
      <c r="AM46" s="617">
        <v>4320</v>
      </c>
      <c r="AN46" s="617">
        <v>4320</v>
      </c>
      <c r="AO46" s="617">
        <v>4320</v>
      </c>
      <c r="AP46" s="617">
        <v>4320</v>
      </c>
      <c r="AQ46" s="617">
        <v>4320</v>
      </c>
      <c r="AR46" s="613" t="s">
        <v>3379</v>
      </c>
      <c r="AS46" s="613" t="s">
        <v>129</v>
      </c>
      <c r="AT46" s="613" t="s">
        <v>444</v>
      </c>
      <c r="AU46" s="613" t="s">
        <v>129</v>
      </c>
      <c r="AV46" s="613" t="s">
        <v>1066</v>
      </c>
      <c r="AW46" s="613" t="s">
        <v>127</v>
      </c>
      <c r="AX46" s="613" t="s">
        <v>3312</v>
      </c>
      <c r="AY46" s="619">
        <v>46150</v>
      </c>
      <c r="AZ46" s="620">
        <v>46149</v>
      </c>
      <c r="BA46" s="620"/>
      <c r="BB46" s="620">
        <v>46167</v>
      </c>
      <c r="BC46" s="622" t="s">
        <v>3407</v>
      </c>
      <c r="BD46" s="660" t="s">
        <v>3339</v>
      </c>
      <c r="BF46" s="521">
        <f t="shared" si="7"/>
        <v>12960</v>
      </c>
    </row>
    <row r="47" s="521" customFormat="1" ht="35.25" hidden="1" customHeight="1" spans="1:58">
      <c r="A47" s="612">
        <f t="shared" si="8"/>
        <v>43</v>
      </c>
      <c r="B47" s="48" t="s">
        <v>209</v>
      </c>
      <c r="C47" s="49" t="s">
        <v>3306</v>
      </c>
      <c r="D47" s="51" t="s">
        <v>3408</v>
      </c>
      <c r="E47" s="51" t="s">
        <v>3409</v>
      </c>
      <c r="F47" s="56">
        <v>46085</v>
      </c>
      <c r="G47" s="56">
        <v>46150</v>
      </c>
      <c r="H47" s="56">
        <v>46150</v>
      </c>
      <c r="I47" s="614">
        <v>46094</v>
      </c>
      <c r="J47" s="615">
        <f t="shared" si="1"/>
        <v>10800</v>
      </c>
      <c r="K47" s="616">
        <v>24</v>
      </c>
      <c r="L47" s="617"/>
      <c r="M47" s="617"/>
      <c r="N47" s="617"/>
      <c r="O47" s="617"/>
      <c r="P47" s="617"/>
      <c r="Q47" s="617"/>
      <c r="R47" s="617"/>
      <c r="S47" s="617"/>
      <c r="T47" s="617"/>
      <c r="U47" s="617"/>
      <c r="V47" s="617"/>
      <c r="W47" s="617"/>
      <c r="X47" s="617"/>
      <c r="Y47" s="617"/>
      <c r="Z47" s="617"/>
      <c r="AA47" s="617"/>
      <c r="AB47" s="617"/>
      <c r="AC47" s="617"/>
      <c r="AD47" s="617"/>
      <c r="AE47" s="617"/>
      <c r="AF47" s="617"/>
      <c r="AG47" s="617"/>
      <c r="AH47" s="617"/>
      <c r="AI47" s="617"/>
      <c r="AJ47" s="617"/>
      <c r="AK47" s="617"/>
      <c r="AL47" s="617">
        <v>1800</v>
      </c>
      <c r="AM47" s="617">
        <v>1800</v>
      </c>
      <c r="AN47" s="617">
        <v>1800</v>
      </c>
      <c r="AO47" s="617">
        <v>1800</v>
      </c>
      <c r="AP47" s="617">
        <v>1800</v>
      </c>
      <c r="AQ47" s="617">
        <v>1800</v>
      </c>
      <c r="AR47" s="613" t="s">
        <v>3379</v>
      </c>
      <c r="AS47" s="613" t="s">
        <v>129</v>
      </c>
      <c r="AT47" s="613" t="s">
        <v>444</v>
      </c>
      <c r="AU47" s="613" t="s">
        <v>129</v>
      </c>
      <c r="AV47" s="613" t="s">
        <v>1066</v>
      </c>
      <c r="AW47" s="613" t="s">
        <v>127</v>
      </c>
      <c r="AX47" s="613" t="s">
        <v>3312</v>
      </c>
      <c r="AY47" s="619">
        <v>46150</v>
      </c>
      <c r="AZ47" s="620">
        <v>46149</v>
      </c>
      <c r="BA47" s="620"/>
      <c r="BB47" s="620">
        <v>46168</v>
      </c>
      <c r="BC47" s="622" t="s">
        <v>3410</v>
      </c>
      <c r="BD47" s="660" t="s">
        <v>3339</v>
      </c>
      <c r="BF47" s="521">
        <f t="shared" si="7"/>
        <v>5400</v>
      </c>
    </row>
    <row r="48" s="521" customFormat="1" ht="35.25" hidden="1" customHeight="1" spans="1:58">
      <c r="A48" s="612">
        <f t="shared" si="8"/>
        <v>44</v>
      </c>
      <c r="B48" s="48" t="s">
        <v>209</v>
      </c>
      <c r="C48" s="49" t="s">
        <v>3306</v>
      </c>
      <c r="D48" s="51" t="s">
        <v>3411</v>
      </c>
      <c r="E48" s="51" t="s">
        <v>3412</v>
      </c>
      <c r="F48" s="56">
        <v>46085</v>
      </c>
      <c r="G48" s="56">
        <v>46150</v>
      </c>
      <c r="H48" s="56">
        <v>46150</v>
      </c>
      <c r="I48" s="614">
        <v>46094</v>
      </c>
      <c r="J48" s="615">
        <f t="shared" si="1"/>
        <v>15120</v>
      </c>
      <c r="K48" s="616">
        <v>24</v>
      </c>
      <c r="L48" s="617"/>
      <c r="M48" s="617"/>
      <c r="N48" s="617"/>
      <c r="O48" s="617"/>
      <c r="P48" s="617"/>
      <c r="Q48" s="617"/>
      <c r="R48" s="617"/>
      <c r="S48" s="617"/>
      <c r="T48" s="617"/>
      <c r="U48" s="617"/>
      <c r="V48" s="617"/>
      <c r="W48" s="617"/>
      <c r="X48" s="617"/>
      <c r="Y48" s="617"/>
      <c r="Z48" s="617"/>
      <c r="AA48" s="617"/>
      <c r="AB48" s="617"/>
      <c r="AC48" s="617"/>
      <c r="AD48" s="617"/>
      <c r="AE48" s="617"/>
      <c r="AF48" s="617"/>
      <c r="AG48" s="617"/>
      <c r="AH48" s="617"/>
      <c r="AI48" s="617"/>
      <c r="AJ48" s="617"/>
      <c r="AK48" s="617"/>
      <c r="AL48" s="617">
        <v>2520</v>
      </c>
      <c r="AM48" s="617">
        <v>2520</v>
      </c>
      <c r="AN48" s="617">
        <v>2520</v>
      </c>
      <c r="AO48" s="617">
        <v>2520</v>
      </c>
      <c r="AP48" s="617">
        <v>2520</v>
      </c>
      <c r="AQ48" s="617">
        <v>2520</v>
      </c>
      <c r="AR48" s="613" t="s">
        <v>3379</v>
      </c>
      <c r="AS48" s="613" t="s">
        <v>129</v>
      </c>
      <c r="AT48" s="613" t="s">
        <v>444</v>
      </c>
      <c r="AU48" s="613" t="s">
        <v>129</v>
      </c>
      <c r="AV48" s="613" t="s">
        <v>1066</v>
      </c>
      <c r="AW48" s="613" t="s">
        <v>127</v>
      </c>
      <c r="AX48" s="613" t="s">
        <v>3312</v>
      </c>
      <c r="AY48" s="619">
        <v>46150</v>
      </c>
      <c r="AZ48" s="620">
        <v>46149</v>
      </c>
      <c r="BA48" s="620"/>
      <c r="BB48" s="620">
        <v>46161</v>
      </c>
      <c r="BC48" s="622" t="s">
        <v>3413</v>
      </c>
      <c r="BD48" s="660" t="s">
        <v>3339</v>
      </c>
      <c r="BF48" s="521">
        <f t="shared" si="7"/>
        <v>7560</v>
      </c>
    </row>
    <row r="49" s="521" customFormat="1" ht="35.25" hidden="1" customHeight="1" spans="1:58">
      <c r="A49" s="612">
        <f t="shared" ref="A49:A112" si="9">ROW()-4</f>
        <v>45</v>
      </c>
      <c r="B49" s="48" t="s">
        <v>209</v>
      </c>
      <c r="C49" s="49" t="s">
        <v>3306</v>
      </c>
      <c r="D49" s="51" t="s">
        <v>3414</v>
      </c>
      <c r="E49" s="51" t="s">
        <v>3415</v>
      </c>
      <c r="F49" s="56">
        <v>46094</v>
      </c>
      <c r="G49" s="56">
        <v>46162</v>
      </c>
      <c r="H49" s="56">
        <v>46162</v>
      </c>
      <c r="I49" s="614">
        <v>46101</v>
      </c>
      <c r="J49" s="615">
        <f t="shared" si="1"/>
        <v>10800</v>
      </c>
      <c r="K49" s="616">
        <v>24</v>
      </c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17"/>
      <c r="AB49" s="617"/>
      <c r="AC49" s="617"/>
      <c r="AD49" s="617"/>
      <c r="AE49" s="617"/>
      <c r="AF49" s="617"/>
      <c r="AG49" s="617"/>
      <c r="AH49" s="617"/>
      <c r="AI49" s="617"/>
      <c r="AJ49" s="617"/>
      <c r="AK49" s="617"/>
      <c r="AL49" s="617">
        <v>1800</v>
      </c>
      <c r="AM49" s="617">
        <v>1800</v>
      </c>
      <c r="AN49" s="617">
        <v>1800</v>
      </c>
      <c r="AO49" s="617">
        <v>1800</v>
      </c>
      <c r="AP49" s="617">
        <v>1800</v>
      </c>
      <c r="AQ49" s="617">
        <v>1800</v>
      </c>
      <c r="AR49" s="613" t="s">
        <v>3416</v>
      </c>
      <c r="AS49" s="613" t="s">
        <v>3417</v>
      </c>
      <c r="AT49" s="613" t="s">
        <v>3417</v>
      </c>
      <c r="AU49" s="613" t="s">
        <v>3418</v>
      </c>
      <c r="AV49" s="613" t="s">
        <v>3419</v>
      </c>
      <c r="AW49" s="613" t="s">
        <v>3420</v>
      </c>
      <c r="AX49" s="613" t="s">
        <v>3312</v>
      </c>
      <c r="AY49" s="619">
        <v>46162</v>
      </c>
      <c r="AZ49" s="620">
        <v>46164</v>
      </c>
      <c r="BA49" s="620"/>
      <c r="BB49" s="620">
        <v>46186</v>
      </c>
      <c r="BC49" s="622" t="s">
        <v>3421</v>
      </c>
      <c r="BD49" s="660" t="s">
        <v>3422</v>
      </c>
      <c r="BF49" s="521">
        <f t="shared" si="7"/>
        <v>5400</v>
      </c>
    </row>
    <row r="50" s="521" customFormat="1" ht="35.25" hidden="1" customHeight="1" spans="1:58">
      <c r="A50" s="612">
        <f t="shared" si="9"/>
        <v>46</v>
      </c>
      <c r="B50" s="48" t="s">
        <v>209</v>
      </c>
      <c r="C50" s="49" t="s">
        <v>3306</v>
      </c>
      <c r="D50" s="51" t="s">
        <v>3423</v>
      </c>
      <c r="E50" s="51" t="s">
        <v>3424</v>
      </c>
      <c r="F50" s="56">
        <v>46094</v>
      </c>
      <c r="G50" s="56">
        <v>46162</v>
      </c>
      <c r="H50" s="56">
        <v>46162</v>
      </c>
      <c r="I50" s="614">
        <v>46101</v>
      </c>
      <c r="J50" s="615">
        <f t="shared" si="1"/>
        <v>10800</v>
      </c>
      <c r="K50" s="616">
        <v>24</v>
      </c>
      <c r="L50" s="617"/>
      <c r="M50" s="617"/>
      <c r="N50" s="617"/>
      <c r="O50" s="617"/>
      <c r="P50" s="617"/>
      <c r="Q50" s="617"/>
      <c r="R50" s="617"/>
      <c r="S50" s="617"/>
      <c r="T50" s="617"/>
      <c r="U50" s="617"/>
      <c r="V50" s="617"/>
      <c r="W50" s="617"/>
      <c r="X50" s="617"/>
      <c r="Y50" s="617"/>
      <c r="Z50" s="617"/>
      <c r="AA50" s="617"/>
      <c r="AB50" s="617"/>
      <c r="AC50" s="617"/>
      <c r="AD50" s="617"/>
      <c r="AE50" s="617"/>
      <c r="AF50" s="617"/>
      <c r="AG50" s="617"/>
      <c r="AH50" s="617"/>
      <c r="AI50" s="617"/>
      <c r="AJ50" s="617"/>
      <c r="AK50" s="617"/>
      <c r="AL50" s="617">
        <v>1800</v>
      </c>
      <c r="AM50" s="617">
        <v>1800</v>
      </c>
      <c r="AN50" s="617">
        <v>1800</v>
      </c>
      <c r="AO50" s="617">
        <v>1800</v>
      </c>
      <c r="AP50" s="617">
        <v>1800</v>
      </c>
      <c r="AQ50" s="617">
        <v>1800</v>
      </c>
      <c r="AR50" s="613" t="s">
        <v>3416</v>
      </c>
      <c r="AS50" s="613" t="s">
        <v>3417</v>
      </c>
      <c r="AT50" s="613" t="s">
        <v>3417</v>
      </c>
      <c r="AU50" s="613" t="s">
        <v>3418</v>
      </c>
      <c r="AV50" s="613" t="s">
        <v>3419</v>
      </c>
      <c r="AW50" s="613" t="s">
        <v>3420</v>
      </c>
      <c r="AX50" s="613" t="s">
        <v>3312</v>
      </c>
      <c r="AY50" s="619">
        <v>46162</v>
      </c>
      <c r="AZ50" s="620">
        <v>46164</v>
      </c>
      <c r="BA50" s="620"/>
      <c r="BB50" s="620">
        <v>46179</v>
      </c>
      <c r="BC50" s="622" t="s">
        <v>3425</v>
      </c>
      <c r="BD50" s="660" t="s">
        <v>3422</v>
      </c>
      <c r="BF50" s="521">
        <f t="shared" si="7"/>
        <v>5400</v>
      </c>
    </row>
    <row r="51" s="521" customFormat="1" ht="35.25" hidden="1" customHeight="1" spans="1:58">
      <c r="A51" s="612">
        <f t="shared" si="9"/>
        <v>47</v>
      </c>
      <c r="B51" s="48" t="s">
        <v>209</v>
      </c>
      <c r="C51" s="49" t="s">
        <v>3306</v>
      </c>
      <c r="D51" s="51" t="s">
        <v>3426</v>
      </c>
      <c r="E51" s="51" t="s">
        <v>3427</v>
      </c>
      <c r="F51" s="56">
        <v>46094</v>
      </c>
      <c r="G51" s="56">
        <v>46162</v>
      </c>
      <c r="H51" s="56">
        <v>46162</v>
      </c>
      <c r="I51" s="614">
        <v>46101</v>
      </c>
      <c r="J51" s="615">
        <f t="shared" si="1"/>
        <v>10800</v>
      </c>
      <c r="K51" s="616">
        <v>24</v>
      </c>
      <c r="L51" s="617"/>
      <c r="M51" s="617"/>
      <c r="N51" s="617"/>
      <c r="O51" s="617"/>
      <c r="P51" s="617"/>
      <c r="Q51" s="617"/>
      <c r="R51" s="617"/>
      <c r="S51" s="617"/>
      <c r="T51" s="617"/>
      <c r="U51" s="617"/>
      <c r="V51" s="617"/>
      <c r="W51" s="617"/>
      <c r="X51" s="617"/>
      <c r="Y51" s="617"/>
      <c r="Z51" s="617"/>
      <c r="AA51" s="617"/>
      <c r="AB51" s="617"/>
      <c r="AC51" s="617"/>
      <c r="AD51" s="617"/>
      <c r="AE51" s="617"/>
      <c r="AF51" s="617"/>
      <c r="AG51" s="617"/>
      <c r="AH51" s="617"/>
      <c r="AI51" s="617"/>
      <c r="AJ51" s="617"/>
      <c r="AK51" s="617"/>
      <c r="AL51" s="617">
        <v>1800</v>
      </c>
      <c r="AM51" s="617">
        <v>1800</v>
      </c>
      <c r="AN51" s="617">
        <v>1800</v>
      </c>
      <c r="AO51" s="617">
        <v>1800</v>
      </c>
      <c r="AP51" s="617">
        <v>1800</v>
      </c>
      <c r="AQ51" s="617">
        <v>1800</v>
      </c>
      <c r="AR51" s="613" t="s">
        <v>3416</v>
      </c>
      <c r="AS51" s="613" t="s">
        <v>3417</v>
      </c>
      <c r="AT51" s="613" t="s">
        <v>3417</v>
      </c>
      <c r="AU51" s="613" t="s">
        <v>3418</v>
      </c>
      <c r="AV51" s="613" t="s">
        <v>3419</v>
      </c>
      <c r="AW51" s="613" t="s">
        <v>3420</v>
      </c>
      <c r="AX51" s="613" t="s">
        <v>3312</v>
      </c>
      <c r="AY51" s="619">
        <v>46162</v>
      </c>
      <c r="AZ51" s="620">
        <v>46164</v>
      </c>
      <c r="BA51" s="620"/>
      <c r="BB51" s="620">
        <v>46172</v>
      </c>
      <c r="BC51" s="622" t="s">
        <v>3428</v>
      </c>
      <c r="BD51" s="660" t="s">
        <v>3422</v>
      </c>
      <c r="BF51" s="521">
        <f t="shared" si="7"/>
        <v>5400</v>
      </c>
    </row>
    <row r="52" s="521" customFormat="1" ht="35.25" hidden="1" customHeight="1" spans="1:58">
      <c r="A52" s="612">
        <f t="shared" si="9"/>
        <v>48</v>
      </c>
      <c r="B52" s="48" t="s">
        <v>209</v>
      </c>
      <c r="C52" s="49" t="s">
        <v>3306</v>
      </c>
      <c r="D52" s="51" t="s">
        <v>3429</v>
      </c>
      <c r="E52" s="51" t="s">
        <v>3430</v>
      </c>
      <c r="F52" s="56">
        <v>46094</v>
      </c>
      <c r="G52" s="56">
        <v>46162</v>
      </c>
      <c r="H52" s="56">
        <v>46162</v>
      </c>
      <c r="I52" s="614">
        <v>46101</v>
      </c>
      <c r="J52" s="615">
        <f t="shared" si="1"/>
        <v>12960</v>
      </c>
      <c r="K52" s="616">
        <v>24</v>
      </c>
      <c r="L52" s="617"/>
      <c r="M52" s="617"/>
      <c r="N52" s="617"/>
      <c r="O52" s="617"/>
      <c r="P52" s="617"/>
      <c r="Q52" s="617"/>
      <c r="R52" s="617"/>
      <c r="S52" s="617"/>
      <c r="T52" s="617"/>
      <c r="U52" s="617"/>
      <c r="V52" s="617"/>
      <c r="W52" s="617"/>
      <c r="X52" s="617"/>
      <c r="Y52" s="617"/>
      <c r="Z52" s="617"/>
      <c r="AA52" s="617"/>
      <c r="AB52" s="617"/>
      <c r="AC52" s="617"/>
      <c r="AD52" s="617"/>
      <c r="AE52" s="617"/>
      <c r="AF52" s="617"/>
      <c r="AG52" s="617"/>
      <c r="AH52" s="617"/>
      <c r="AI52" s="617"/>
      <c r="AJ52" s="617"/>
      <c r="AK52" s="617"/>
      <c r="AL52" s="617">
        <v>2160</v>
      </c>
      <c r="AM52" s="617">
        <v>2160</v>
      </c>
      <c r="AN52" s="617">
        <v>2160</v>
      </c>
      <c r="AO52" s="617">
        <v>2160</v>
      </c>
      <c r="AP52" s="617">
        <v>2160</v>
      </c>
      <c r="AQ52" s="617">
        <v>2160</v>
      </c>
      <c r="AR52" s="613" t="s">
        <v>3416</v>
      </c>
      <c r="AS52" s="613" t="s">
        <v>3417</v>
      </c>
      <c r="AT52" s="613" t="s">
        <v>3417</v>
      </c>
      <c r="AU52" s="613" t="s">
        <v>3418</v>
      </c>
      <c r="AV52" s="613" t="s">
        <v>3419</v>
      </c>
      <c r="AW52" s="613" t="s">
        <v>3420</v>
      </c>
      <c r="AX52" s="613" t="s">
        <v>3312</v>
      </c>
      <c r="AY52" s="619">
        <v>46162</v>
      </c>
      <c r="AZ52" s="620">
        <v>46164</v>
      </c>
      <c r="BA52" s="620"/>
      <c r="BB52" s="620">
        <v>46179</v>
      </c>
      <c r="BC52" s="622" t="s">
        <v>3431</v>
      </c>
      <c r="BD52" s="660" t="s">
        <v>3422</v>
      </c>
      <c r="BF52" s="521">
        <f t="shared" si="7"/>
        <v>6480</v>
      </c>
    </row>
    <row r="53" s="521" customFormat="1" ht="35.25" hidden="1" customHeight="1" spans="1:58">
      <c r="A53" s="612">
        <f t="shared" si="9"/>
        <v>49</v>
      </c>
      <c r="B53" s="48" t="s">
        <v>209</v>
      </c>
      <c r="C53" s="49" t="s">
        <v>3306</v>
      </c>
      <c r="D53" s="51" t="s">
        <v>3432</v>
      </c>
      <c r="E53" s="51" t="s">
        <v>3433</v>
      </c>
      <c r="F53" s="56">
        <v>46094</v>
      </c>
      <c r="G53" s="56">
        <v>46162</v>
      </c>
      <c r="H53" s="56">
        <v>46162</v>
      </c>
      <c r="I53" s="614">
        <v>46101</v>
      </c>
      <c r="J53" s="615">
        <f t="shared" si="1"/>
        <v>10800</v>
      </c>
      <c r="K53" s="616">
        <v>24</v>
      </c>
      <c r="L53" s="617"/>
      <c r="M53" s="617"/>
      <c r="N53" s="617"/>
      <c r="O53" s="617"/>
      <c r="P53" s="617"/>
      <c r="Q53" s="617"/>
      <c r="R53" s="617"/>
      <c r="S53" s="617"/>
      <c r="T53" s="617"/>
      <c r="U53" s="617"/>
      <c r="V53" s="617"/>
      <c r="W53" s="617"/>
      <c r="X53" s="617"/>
      <c r="Y53" s="617"/>
      <c r="Z53" s="617"/>
      <c r="AA53" s="617"/>
      <c r="AB53" s="617"/>
      <c r="AC53" s="617"/>
      <c r="AD53" s="617"/>
      <c r="AE53" s="617"/>
      <c r="AF53" s="617"/>
      <c r="AG53" s="617"/>
      <c r="AH53" s="617"/>
      <c r="AI53" s="617"/>
      <c r="AJ53" s="617"/>
      <c r="AK53" s="617"/>
      <c r="AL53" s="617">
        <v>1800</v>
      </c>
      <c r="AM53" s="617">
        <v>1800</v>
      </c>
      <c r="AN53" s="617">
        <v>1800</v>
      </c>
      <c r="AO53" s="617">
        <v>1800</v>
      </c>
      <c r="AP53" s="617">
        <v>1800</v>
      </c>
      <c r="AQ53" s="617">
        <v>1800</v>
      </c>
      <c r="AR53" s="613" t="s">
        <v>3416</v>
      </c>
      <c r="AS53" s="613" t="s">
        <v>3417</v>
      </c>
      <c r="AT53" s="613" t="s">
        <v>3417</v>
      </c>
      <c r="AU53" s="613" t="s">
        <v>3418</v>
      </c>
      <c r="AV53" s="613" t="s">
        <v>3419</v>
      </c>
      <c r="AW53" s="613" t="s">
        <v>3420</v>
      </c>
      <c r="AX53" s="613" t="s">
        <v>3312</v>
      </c>
      <c r="AY53" s="619">
        <v>46162</v>
      </c>
      <c r="AZ53" s="620">
        <v>46164</v>
      </c>
      <c r="BA53" s="620"/>
      <c r="BB53" s="620">
        <v>46177</v>
      </c>
      <c r="BC53" s="622" t="s">
        <v>3434</v>
      </c>
      <c r="BD53" s="660" t="s">
        <v>3422</v>
      </c>
      <c r="BF53" s="521">
        <f t="shared" si="7"/>
        <v>5400</v>
      </c>
    </row>
    <row r="54" s="521" customFormat="1" ht="35.25" hidden="1" customHeight="1" spans="1:58">
      <c r="A54" s="612">
        <f t="shared" si="9"/>
        <v>50</v>
      </c>
      <c r="B54" s="48" t="s">
        <v>209</v>
      </c>
      <c r="C54" s="49" t="s">
        <v>3306</v>
      </c>
      <c r="D54" s="51" t="s">
        <v>3435</v>
      </c>
      <c r="E54" s="51" t="s">
        <v>3436</v>
      </c>
      <c r="F54" s="56">
        <v>46100</v>
      </c>
      <c r="G54" s="56">
        <v>46168</v>
      </c>
      <c r="H54" s="56">
        <v>46168</v>
      </c>
      <c r="I54" s="614">
        <v>46112</v>
      </c>
      <c r="J54" s="615">
        <f t="shared" si="1"/>
        <v>15120</v>
      </c>
      <c r="K54" s="616">
        <v>24</v>
      </c>
      <c r="L54" s="617"/>
      <c r="M54" s="617"/>
      <c r="N54" s="617"/>
      <c r="O54" s="617"/>
      <c r="P54" s="617"/>
      <c r="Q54" s="617"/>
      <c r="R54" s="617"/>
      <c r="S54" s="617"/>
      <c r="T54" s="617"/>
      <c r="U54" s="617"/>
      <c r="V54" s="617"/>
      <c r="W54" s="617"/>
      <c r="X54" s="617"/>
      <c r="Y54" s="617"/>
      <c r="Z54" s="617"/>
      <c r="AA54" s="617"/>
      <c r="AB54" s="617"/>
      <c r="AC54" s="617"/>
      <c r="AD54" s="617"/>
      <c r="AE54" s="617"/>
      <c r="AF54" s="617"/>
      <c r="AG54" s="617"/>
      <c r="AH54" s="617"/>
      <c r="AI54" s="617"/>
      <c r="AJ54" s="617"/>
      <c r="AK54" s="617"/>
      <c r="AL54" s="617">
        <v>2520</v>
      </c>
      <c r="AM54" s="617">
        <v>2520</v>
      </c>
      <c r="AN54" s="617">
        <v>2520</v>
      </c>
      <c r="AO54" s="617">
        <v>2520</v>
      </c>
      <c r="AP54" s="617">
        <v>2520</v>
      </c>
      <c r="AQ54" s="617">
        <v>2520</v>
      </c>
      <c r="AR54" s="613" t="s">
        <v>3416</v>
      </c>
      <c r="AS54" s="613" t="s">
        <v>3417</v>
      </c>
      <c r="AT54" s="613" t="s">
        <v>3417</v>
      </c>
      <c r="AU54" s="613" t="s">
        <v>3418</v>
      </c>
      <c r="AV54" s="613" t="s">
        <v>744</v>
      </c>
      <c r="AW54" s="613" t="s">
        <v>3420</v>
      </c>
      <c r="AX54" s="613" t="s">
        <v>3312</v>
      </c>
      <c r="AY54" s="619">
        <v>46168</v>
      </c>
      <c r="AZ54" s="620">
        <v>46170</v>
      </c>
      <c r="BA54" s="620"/>
      <c r="BB54" s="620">
        <v>46188</v>
      </c>
      <c r="BC54" s="622" t="s">
        <v>3437</v>
      </c>
      <c r="BD54" s="660" t="s">
        <v>3339</v>
      </c>
      <c r="BF54" s="521">
        <f t="shared" si="7"/>
        <v>7560</v>
      </c>
    </row>
    <row r="55" s="521" customFormat="1" ht="35.25" hidden="1" customHeight="1" spans="1:58">
      <c r="A55" s="612">
        <f t="shared" si="9"/>
        <v>51</v>
      </c>
      <c r="B55" s="48" t="s">
        <v>209</v>
      </c>
      <c r="C55" s="49" t="s">
        <v>3306</v>
      </c>
      <c r="D55" s="51" t="s">
        <v>3438</v>
      </c>
      <c r="E55" s="51" t="s">
        <v>3439</v>
      </c>
      <c r="F55" s="56">
        <v>46100</v>
      </c>
      <c r="G55" s="56">
        <v>46168</v>
      </c>
      <c r="H55" s="56">
        <v>46168</v>
      </c>
      <c r="I55" s="614">
        <v>46112</v>
      </c>
      <c r="J55" s="615">
        <f t="shared" si="1"/>
        <v>17280</v>
      </c>
      <c r="K55" s="616">
        <v>24</v>
      </c>
      <c r="L55" s="617"/>
      <c r="M55" s="617"/>
      <c r="N55" s="617"/>
      <c r="O55" s="617"/>
      <c r="P55" s="617"/>
      <c r="Q55" s="617"/>
      <c r="R55" s="617"/>
      <c r="S55" s="617"/>
      <c r="T55" s="617"/>
      <c r="U55" s="617"/>
      <c r="V55" s="617"/>
      <c r="W55" s="617"/>
      <c r="X55" s="617"/>
      <c r="Y55" s="617"/>
      <c r="Z55" s="617"/>
      <c r="AA55" s="617"/>
      <c r="AB55" s="617"/>
      <c r="AC55" s="617"/>
      <c r="AD55" s="617"/>
      <c r="AE55" s="617"/>
      <c r="AF55" s="617"/>
      <c r="AG55" s="617"/>
      <c r="AH55" s="617"/>
      <c r="AI55" s="617"/>
      <c r="AJ55" s="617"/>
      <c r="AK55" s="617"/>
      <c r="AL55" s="617">
        <v>2880</v>
      </c>
      <c r="AM55" s="617">
        <v>2880</v>
      </c>
      <c r="AN55" s="617">
        <v>2880</v>
      </c>
      <c r="AO55" s="617">
        <v>2880</v>
      </c>
      <c r="AP55" s="617">
        <v>2880</v>
      </c>
      <c r="AQ55" s="617">
        <v>2880</v>
      </c>
      <c r="AR55" s="613" t="s">
        <v>3416</v>
      </c>
      <c r="AS55" s="613" t="s">
        <v>3417</v>
      </c>
      <c r="AT55" s="613" t="s">
        <v>3417</v>
      </c>
      <c r="AU55" s="613" t="s">
        <v>3418</v>
      </c>
      <c r="AV55" s="613" t="s">
        <v>744</v>
      </c>
      <c r="AW55" s="613" t="s">
        <v>3420</v>
      </c>
      <c r="AX55" s="613" t="s">
        <v>3312</v>
      </c>
      <c r="AY55" s="619">
        <v>46168</v>
      </c>
      <c r="AZ55" s="620">
        <v>46170</v>
      </c>
      <c r="BA55" s="620"/>
      <c r="BB55" s="620">
        <v>46195</v>
      </c>
      <c r="BC55" s="622" t="s">
        <v>3440</v>
      </c>
      <c r="BD55" s="660" t="s">
        <v>3339</v>
      </c>
      <c r="BF55" s="521">
        <f t="shared" si="7"/>
        <v>8640</v>
      </c>
    </row>
    <row r="56" s="521" customFormat="1" ht="35.25" hidden="1" customHeight="1" spans="1:58">
      <c r="A56" s="612">
        <f t="shared" si="9"/>
        <v>52</v>
      </c>
      <c r="B56" s="48" t="s">
        <v>209</v>
      </c>
      <c r="C56" s="49" t="s">
        <v>3306</v>
      </c>
      <c r="D56" s="51" t="s">
        <v>3441</v>
      </c>
      <c r="E56" s="51" t="s">
        <v>3442</v>
      </c>
      <c r="F56" s="56">
        <v>46100</v>
      </c>
      <c r="G56" s="56">
        <v>46168</v>
      </c>
      <c r="H56" s="56">
        <v>46168</v>
      </c>
      <c r="I56" s="614">
        <v>46112</v>
      </c>
      <c r="J56" s="615">
        <f t="shared" si="1"/>
        <v>8640</v>
      </c>
      <c r="K56" s="616">
        <v>24</v>
      </c>
      <c r="L56" s="617"/>
      <c r="M56" s="617"/>
      <c r="N56" s="617"/>
      <c r="O56" s="617"/>
      <c r="P56" s="617"/>
      <c r="Q56" s="617"/>
      <c r="R56" s="617"/>
      <c r="S56" s="617"/>
      <c r="T56" s="617"/>
      <c r="U56" s="617"/>
      <c r="V56" s="617"/>
      <c r="W56" s="617"/>
      <c r="X56" s="617"/>
      <c r="Y56" s="617"/>
      <c r="Z56" s="617"/>
      <c r="AA56" s="617"/>
      <c r="AB56" s="617"/>
      <c r="AC56" s="617"/>
      <c r="AD56" s="617"/>
      <c r="AE56" s="617"/>
      <c r="AF56" s="617"/>
      <c r="AG56" s="617"/>
      <c r="AH56" s="617"/>
      <c r="AI56" s="617"/>
      <c r="AJ56" s="617"/>
      <c r="AK56" s="617"/>
      <c r="AL56" s="617">
        <v>1440</v>
      </c>
      <c r="AM56" s="617">
        <v>1440</v>
      </c>
      <c r="AN56" s="617">
        <v>1440</v>
      </c>
      <c r="AO56" s="617">
        <v>1440</v>
      </c>
      <c r="AP56" s="617">
        <v>1440</v>
      </c>
      <c r="AQ56" s="617">
        <v>1440</v>
      </c>
      <c r="AR56" s="613" t="s">
        <v>3416</v>
      </c>
      <c r="AS56" s="613" t="s">
        <v>3417</v>
      </c>
      <c r="AT56" s="613" t="s">
        <v>3417</v>
      </c>
      <c r="AU56" s="613" t="s">
        <v>3418</v>
      </c>
      <c r="AV56" s="613" t="s">
        <v>744</v>
      </c>
      <c r="AW56" s="613" t="s">
        <v>3420</v>
      </c>
      <c r="AX56" s="613" t="s">
        <v>3312</v>
      </c>
      <c r="AY56" s="661">
        <v>46226</v>
      </c>
      <c r="AZ56" s="620">
        <v>46170</v>
      </c>
      <c r="BA56" s="620"/>
      <c r="BB56" s="620">
        <v>46240</v>
      </c>
      <c r="BC56" s="622" t="s">
        <v>3443</v>
      </c>
      <c r="BD56" s="660" t="s">
        <v>3339</v>
      </c>
      <c r="BF56" s="521">
        <f t="shared" si="7"/>
        <v>4320</v>
      </c>
    </row>
    <row r="57" s="521" customFormat="1" ht="35.25" hidden="1" customHeight="1" spans="1:58">
      <c r="A57" s="612">
        <f t="shared" si="9"/>
        <v>53</v>
      </c>
      <c r="B57" s="48" t="s">
        <v>209</v>
      </c>
      <c r="C57" s="49" t="s">
        <v>3306</v>
      </c>
      <c r="D57" s="51" t="s">
        <v>3444</v>
      </c>
      <c r="E57" s="51" t="s">
        <v>3445</v>
      </c>
      <c r="F57" s="56">
        <v>46100</v>
      </c>
      <c r="G57" s="56">
        <v>46168</v>
      </c>
      <c r="H57" s="56">
        <v>46168</v>
      </c>
      <c r="I57" s="614">
        <v>46112</v>
      </c>
      <c r="J57" s="615">
        <f t="shared" si="1"/>
        <v>12960</v>
      </c>
      <c r="K57" s="616">
        <v>24</v>
      </c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17"/>
      <c r="AB57" s="617"/>
      <c r="AC57" s="617"/>
      <c r="AD57" s="617"/>
      <c r="AE57" s="617"/>
      <c r="AF57" s="617"/>
      <c r="AG57" s="617"/>
      <c r="AH57" s="617"/>
      <c r="AI57" s="617"/>
      <c r="AJ57" s="617"/>
      <c r="AK57" s="617"/>
      <c r="AL57" s="617">
        <v>2160</v>
      </c>
      <c r="AM57" s="617">
        <v>2160</v>
      </c>
      <c r="AN57" s="617">
        <v>2160</v>
      </c>
      <c r="AO57" s="617">
        <v>2160</v>
      </c>
      <c r="AP57" s="617">
        <v>2160</v>
      </c>
      <c r="AQ57" s="617">
        <v>2160</v>
      </c>
      <c r="AR57" s="613" t="s">
        <v>3416</v>
      </c>
      <c r="AS57" s="613" t="s">
        <v>3417</v>
      </c>
      <c r="AT57" s="613" t="s">
        <v>3417</v>
      </c>
      <c r="AU57" s="613" t="s">
        <v>3418</v>
      </c>
      <c r="AV57" s="613" t="s">
        <v>744</v>
      </c>
      <c r="AW57" s="613" t="s">
        <v>3420</v>
      </c>
      <c r="AX57" s="613" t="s">
        <v>3312</v>
      </c>
      <c r="AY57" s="661">
        <v>46226</v>
      </c>
      <c r="AZ57" s="620">
        <v>46170</v>
      </c>
      <c r="BA57" s="620"/>
      <c r="BB57" s="620">
        <v>46245</v>
      </c>
      <c r="BC57" s="622" t="s">
        <v>3446</v>
      </c>
      <c r="BD57" s="660" t="s">
        <v>3339</v>
      </c>
      <c r="BF57" s="521">
        <f t="shared" si="7"/>
        <v>6480</v>
      </c>
    </row>
    <row r="58" s="521" customFormat="1" ht="35.25" hidden="1" customHeight="1" spans="1:58">
      <c r="A58" s="612">
        <f t="shared" si="9"/>
        <v>54</v>
      </c>
      <c r="B58" s="48" t="s">
        <v>209</v>
      </c>
      <c r="C58" s="49" t="s">
        <v>3306</v>
      </c>
      <c r="D58" s="51" t="s">
        <v>3447</v>
      </c>
      <c r="E58" s="51" t="s">
        <v>3448</v>
      </c>
      <c r="F58" s="56">
        <v>46100</v>
      </c>
      <c r="G58" s="56">
        <v>46168</v>
      </c>
      <c r="H58" s="56">
        <v>46168</v>
      </c>
      <c r="I58" s="614">
        <v>46112</v>
      </c>
      <c r="J58" s="615">
        <f t="shared" si="1"/>
        <v>15120</v>
      </c>
      <c r="K58" s="616">
        <v>24</v>
      </c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617"/>
      <c r="AB58" s="617"/>
      <c r="AC58" s="617"/>
      <c r="AD58" s="617"/>
      <c r="AE58" s="617"/>
      <c r="AF58" s="617"/>
      <c r="AG58" s="617"/>
      <c r="AH58" s="617"/>
      <c r="AI58" s="617"/>
      <c r="AJ58" s="617"/>
      <c r="AK58" s="617"/>
      <c r="AL58" s="617">
        <v>2520</v>
      </c>
      <c r="AM58" s="617">
        <v>2520</v>
      </c>
      <c r="AN58" s="617">
        <v>2520</v>
      </c>
      <c r="AO58" s="617">
        <v>2520</v>
      </c>
      <c r="AP58" s="617">
        <v>2520</v>
      </c>
      <c r="AQ58" s="617">
        <v>2520</v>
      </c>
      <c r="AR58" s="613" t="s">
        <v>3416</v>
      </c>
      <c r="AS58" s="613" t="s">
        <v>3417</v>
      </c>
      <c r="AT58" s="613" t="s">
        <v>3417</v>
      </c>
      <c r="AU58" s="613" t="s">
        <v>3418</v>
      </c>
      <c r="AV58" s="613" t="s">
        <v>744</v>
      </c>
      <c r="AW58" s="613" t="s">
        <v>3420</v>
      </c>
      <c r="AX58" s="613" t="s">
        <v>3312</v>
      </c>
      <c r="AY58" s="661">
        <v>46230</v>
      </c>
      <c r="AZ58" s="620">
        <v>46170</v>
      </c>
      <c r="BA58" s="620"/>
      <c r="BB58" s="620">
        <v>46247</v>
      </c>
      <c r="BC58" s="622" t="s">
        <v>3449</v>
      </c>
      <c r="BD58" s="660" t="s">
        <v>3339</v>
      </c>
      <c r="BF58" s="521">
        <f t="shared" si="7"/>
        <v>7560</v>
      </c>
    </row>
    <row r="59" s="521" customFormat="1" ht="35.25" customHeight="1" spans="1:58">
      <c r="A59" s="612">
        <f t="shared" si="9"/>
        <v>55</v>
      </c>
      <c r="B59" s="48" t="s">
        <v>209</v>
      </c>
      <c r="C59" s="49" t="s">
        <v>3306</v>
      </c>
      <c r="D59" s="51" t="s">
        <v>3450</v>
      </c>
      <c r="E59" s="51" t="s">
        <v>3451</v>
      </c>
      <c r="F59" s="56">
        <v>46100</v>
      </c>
      <c r="G59" s="56">
        <v>46168</v>
      </c>
      <c r="H59" s="56">
        <v>46168</v>
      </c>
      <c r="I59" s="614">
        <v>46112</v>
      </c>
      <c r="J59" s="615">
        <f t="shared" si="1"/>
        <v>6480</v>
      </c>
      <c r="K59" s="616">
        <v>24</v>
      </c>
      <c r="L59" s="617"/>
      <c r="M59" s="617"/>
      <c r="N59" s="617"/>
      <c r="O59" s="617"/>
      <c r="P59" s="617"/>
      <c r="Q59" s="617"/>
      <c r="R59" s="617"/>
      <c r="S59" s="617"/>
      <c r="T59" s="617"/>
      <c r="U59" s="617"/>
      <c r="V59" s="617"/>
      <c r="W59" s="617"/>
      <c r="X59" s="617"/>
      <c r="Y59" s="617"/>
      <c r="Z59" s="617"/>
      <c r="AA59" s="617"/>
      <c r="AB59" s="617"/>
      <c r="AC59" s="617"/>
      <c r="AD59" s="617"/>
      <c r="AE59" s="617"/>
      <c r="AF59" s="617"/>
      <c r="AG59" s="617"/>
      <c r="AH59" s="617"/>
      <c r="AI59" s="617"/>
      <c r="AJ59" s="617"/>
      <c r="AK59" s="617"/>
      <c r="AL59" s="617">
        <v>1080</v>
      </c>
      <c r="AM59" s="617">
        <v>1080</v>
      </c>
      <c r="AN59" s="617">
        <v>1080</v>
      </c>
      <c r="AO59" s="617">
        <v>1080</v>
      </c>
      <c r="AP59" s="617">
        <v>1080</v>
      </c>
      <c r="AQ59" s="617">
        <v>1080</v>
      </c>
      <c r="AR59" s="613" t="s">
        <v>3416</v>
      </c>
      <c r="AS59" s="613" t="s">
        <v>3417</v>
      </c>
      <c r="AT59" s="613" t="s">
        <v>3417</v>
      </c>
      <c r="AU59" s="613" t="s">
        <v>3418</v>
      </c>
      <c r="AV59" s="613" t="s">
        <v>744</v>
      </c>
      <c r="AW59" s="613" t="s">
        <v>3420</v>
      </c>
      <c r="AX59" s="613" t="s">
        <v>3312</v>
      </c>
      <c r="AY59" s="661">
        <v>46239</v>
      </c>
      <c r="AZ59" s="620">
        <v>46170</v>
      </c>
      <c r="BA59" s="620"/>
      <c r="BB59" s="620"/>
      <c r="BC59" s="1292" t="s">
        <v>3452</v>
      </c>
      <c r="BD59" s="660" t="s">
        <v>3339</v>
      </c>
      <c r="BF59" s="521">
        <f t="shared" si="7"/>
        <v>3240</v>
      </c>
    </row>
    <row r="60" s="521" customFormat="1" ht="35.25" hidden="1" customHeight="1" spans="1:58">
      <c r="A60" s="612">
        <f t="shared" si="9"/>
        <v>56</v>
      </c>
      <c r="B60" s="48" t="s">
        <v>209</v>
      </c>
      <c r="C60" s="49" t="s">
        <v>3306</v>
      </c>
      <c r="D60" s="51" t="s">
        <v>3453</v>
      </c>
      <c r="E60" s="51" t="s">
        <v>3454</v>
      </c>
      <c r="F60" s="56">
        <v>46100</v>
      </c>
      <c r="G60" s="56">
        <v>46168</v>
      </c>
      <c r="H60" s="56">
        <v>46168</v>
      </c>
      <c r="I60" s="614">
        <v>46112</v>
      </c>
      <c r="J60" s="615">
        <f t="shared" si="1"/>
        <v>10800</v>
      </c>
      <c r="K60" s="616">
        <v>24</v>
      </c>
      <c r="L60" s="617"/>
      <c r="M60" s="617"/>
      <c r="N60" s="617"/>
      <c r="O60" s="617"/>
      <c r="P60" s="617"/>
      <c r="Q60" s="617"/>
      <c r="R60" s="617"/>
      <c r="S60" s="617"/>
      <c r="T60" s="617"/>
      <c r="U60" s="617"/>
      <c r="V60" s="617"/>
      <c r="W60" s="617"/>
      <c r="X60" s="617"/>
      <c r="Y60" s="617"/>
      <c r="Z60" s="617"/>
      <c r="AA60" s="617"/>
      <c r="AB60" s="617"/>
      <c r="AC60" s="617"/>
      <c r="AD60" s="617"/>
      <c r="AE60" s="617"/>
      <c r="AF60" s="617"/>
      <c r="AG60" s="617"/>
      <c r="AH60" s="617"/>
      <c r="AI60" s="617"/>
      <c r="AJ60" s="617"/>
      <c r="AK60" s="617"/>
      <c r="AL60" s="617">
        <v>1800</v>
      </c>
      <c r="AM60" s="617">
        <v>1800</v>
      </c>
      <c r="AN60" s="617">
        <v>1800</v>
      </c>
      <c r="AO60" s="617">
        <v>1800</v>
      </c>
      <c r="AP60" s="617">
        <v>1800</v>
      </c>
      <c r="AQ60" s="617">
        <v>1800</v>
      </c>
      <c r="AR60" s="613" t="s">
        <v>3416</v>
      </c>
      <c r="AS60" s="613" t="s">
        <v>3417</v>
      </c>
      <c r="AT60" s="613" t="s">
        <v>3417</v>
      </c>
      <c r="AU60" s="613" t="s">
        <v>3418</v>
      </c>
      <c r="AV60" s="613" t="s">
        <v>744</v>
      </c>
      <c r="AW60" s="613" t="s">
        <v>3420</v>
      </c>
      <c r="AX60" s="613" t="s">
        <v>3312</v>
      </c>
      <c r="AY60" s="619">
        <v>46168</v>
      </c>
      <c r="AZ60" s="620">
        <v>46170</v>
      </c>
      <c r="BA60" s="620"/>
      <c r="BB60" s="620">
        <v>46179</v>
      </c>
      <c r="BC60" s="622" t="s">
        <v>3455</v>
      </c>
      <c r="BD60" s="660" t="s">
        <v>3339</v>
      </c>
      <c r="BF60" s="521">
        <f t="shared" si="7"/>
        <v>5400</v>
      </c>
    </row>
    <row r="61" s="521" customFormat="1" ht="36" hidden="1" customHeight="1" spans="1:58">
      <c r="A61" s="612">
        <f t="shared" si="9"/>
        <v>57</v>
      </c>
      <c r="B61" s="48" t="s">
        <v>3350</v>
      </c>
      <c r="C61" s="49" t="s">
        <v>101</v>
      </c>
      <c r="D61" s="51" t="s">
        <v>3456</v>
      </c>
      <c r="E61" s="51" t="s">
        <v>3457</v>
      </c>
      <c r="F61" s="52">
        <v>46126</v>
      </c>
      <c r="G61" s="56">
        <v>46186</v>
      </c>
      <c r="H61" s="56">
        <v>46186</v>
      </c>
      <c r="I61" s="614">
        <v>46163</v>
      </c>
      <c r="J61" s="615">
        <f t="shared" ref="J61:J66" si="10">SUBTOTAL(9,L61:AQ61)</f>
        <v>0</v>
      </c>
      <c r="K61" s="616">
        <v>48</v>
      </c>
      <c r="L61" s="617"/>
      <c r="M61" s="617"/>
      <c r="N61" s="617"/>
      <c r="O61" s="617"/>
      <c r="P61" s="617"/>
      <c r="Q61" s="617"/>
      <c r="R61" s="617"/>
      <c r="S61" s="617"/>
      <c r="T61" s="617"/>
      <c r="U61" s="617"/>
      <c r="V61" s="616">
        <v>10008</v>
      </c>
      <c r="W61" s="616">
        <v>10008</v>
      </c>
      <c r="X61" s="616">
        <v>10008</v>
      </c>
      <c r="Y61" s="616">
        <v>10008</v>
      </c>
      <c r="Z61" s="616"/>
      <c r="AA61" s="616"/>
      <c r="AB61" s="616"/>
      <c r="AC61" s="616"/>
      <c r="AD61" s="616"/>
      <c r="AE61" s="616"/>
      <c r="AF61" s="616"/>
      <c r="AG61" s="616"/>
      <c r="AH61" s="616"/>
      <c r="AI61" s="616"/>
      <c r="AJ61" s="616"/>
      <c r="AK61" s="616"/>
      <c r="AL61" s="616"/>
      <c r="AM61" s="616"/>
      <c r="AN61" s="616"/>
      <c r="AO61" s="616"/>
      <c r="AP61" s="616"/>
      <c r="AQ61" s="616"/>
      <c r="AR61" s="613" t="s">
        <v>3458</v>
      </c>
      <c r="AS61" s="613" t="s">
        <v>1393</v>
      </c>
      <c r="AT61" s="613" t="s">
        <v>84</v>
      </c>
      <c r="AU61" s="613" t="s">
        <v>519</v>
      </c>
      <c r="AV61" s="613" t="s">
        <v>3459</v>
      </c>
      <c r="AW61" s="613" t="s">
        <v>2147</v>
      </c>
      <c r="AX61" s="613" t="s">
        <v>3294</v>
      </c>
      <c r="AY61" s="619">
        <v>46186</v>
      </c>
      <c r="AZ61" s="620">
        <v>46191</v>
      </c>
      <c r="BA61" s="613"/>
      <c r="BB61" s="620">
        <v>46196</v>
      </c>
      <c r="BC61" s="622" t="s">
        <v>3460</v>
      </c>
      <c r="BD61" s="660" t="s">
        <v>3296</v>
      </c>
    </row>
    <row r="62" s="521" customFormat="1" ht="35.25" hidden="1" customHeight="1" spans="1:58">
      <c r="A62" s="612">
        <f t="shared" si="9"/>
        <v>58</v>
      </c>
      <c r="B62" s="48" t="s">
        <v>3461</v>
      </c>
      <c r="C62" s="49" t="s">
        <v>486</v>
      </c>
      <c r="D62" s="51" t="s">
        <v>3462</v>
      </c>
      <c r="E62" s="51" t="s">
        <v>3463</v>
      </c>
      <c r="F62" s="56">
        <v>46135</v>
      </c>
      <c r="G62" s="56">
        <v>46213</v>
      </c>
      <c r="H62" s="56">
        <v>46213</v>
      </c>
      <c r="I62" s="614">
        <v>46155</v>
      </c>
      <c r="J62" s="615">
        <f t="shared" si="10"/>
        <v>0</v>
      </c>
      <c r="K62" s="616">
        <v>24</v>
      </c>
      <c r="L62" s="617">
        <v>7368</v>
      </c>
      <c r="M62" s="617">
        <v>7368</v>
      </c>
      <c r="N62" s="617">
        <v>7368</v>
      </c>
      <c r="O62" s="617">
        <v>7368</v>
      </c>
      <c r="P62" s="617">
        <v>7368</v>
      </c>
      <c r="Q62" s="617">
        <v>7368</v>
      </c>
      <c r="R62" s="617"/>
      <c r="S62" s="617"/>
      <c r="T62" s="617"/>
      <c r="U62" s="617"/>
      <c r="V62" s="617"/>
      <c r="W62" s="617"/>
      <c r="X62" s="617"/>
      <c r="Y62" s="617"/>
      <c r="Z62" s="617"/>
      <c r="AA62" s="617"/>
      <c r="AB62" s="617"/>
      <c r="AC62" s="617"/>
      <c r="AD62" s="617"/>
      <c r="AE62" s="617"/>
      <c r="AF62" s="617"/>
      <c r="AG62" s="617"/>
      <c r="AH62" s="617"/>
      <c r="AI62" s="617"/>
      <c r="AJ62" s="617"/>
      <c r="AK62" s="617"/>
      <c r="AL62" s="617"/>
      <c r="AM62" s="617"/>
      <c r="AN62" s="617"/>
      <c r="AO62" s="617"/>
      <c r="AP62" s="617"/>
      <c r="AQ62" s="617"/>
      <c r="AR62" s="613" t="s">
        <v>554</v>
      </c>
      <c r="AS62" s="613" t="s">
        <v>3464</v>
      </c>
      <c r="AT62" s="613" t="s">
        <v>3464</v>
      </c>
      <c r="AU62" s="613" t="s">
        <v>3465</v>
      </c>
      <c r="AV62" s="613" t="s">
        <v>1975</v>
      </c>
      <c r="AW62" s="613" t="s">
        <v>554</v>
      </c>
      <c r="AX62" s="613" t="s">
        <v>3466</v>
      </c>
      <c r="AY62" s="619">
        <v>46213</v>
      </c>
      <c r="AZ62" s="620">
        <v>46217</v>
      </c>
      <c r="BA62" s="620"/>
      <c r="BB62" s="620">
        <v>46223</v>
      </c>
      <c r="BC62" s="622" t="s">
        <v>3467</v>
      </c>
      <c r="BD62" s="660" t="s">
        <v>3468</v>
      </c>
    </row>
    <row r="63" s="521" customFormat="1" ht="35.25" hidden="1" customHeight="1" spans="1:58">
      <c r="A63" s="612">
        <f t="shared" si="9"/>
        <v>59</v>
      </c>
      <c r="B63" s="48" t="s">
        <v>209</v>
      </c>
      <c r="C63" s="49" t="s">
        <v>2947</v>
      </c>
      <c r="D63" s="51" t="s">
        <v>3469</v>
      </c>
      <c r="E63" s="51" t="s">
        <v>3470</v>
      </c>
      <c r="F63" s="56">
        <v>46147</v>
      </c>
      <c r="G63" s="56">
        <v>46218</v>
      </c>
      <c r="H63" s="56">
        <v>46218</v>
      </c>
      <c r="I63" s="614">
        <v>46196</v>
      </c>
      <c r="J63" s="615">
        <f t="shared" si="10"/>
        <v>0</v>
      </c>
      <c r="K63" s="616">
        <v>24</v>
      </c>
      <c r="L63" s="617"/>
      <c r="M63" s="617"/>
      <c r="N63" s="617"/>
      <c r="O63" s="617"/>
      <c r="P63" s="617"/>
      <c r="Q63" s="617"/>
      <c r="R63" s="617"/>
      <c r="S63" s="617"/>
      <c r="T63" s="617"/>
      <c r="U63" s="617"/>
      <c r="V63" s="617"/>
      <c r="W63" s="617"/>
      <c r="X63" s="617"/>
      <c r="Y63" s="617"/>
      <c r="Z63" s="617"/>
      <c r="AA63" s="617"/>
      <c r="AB63" s="617"/>
      <c r="AC63" s="617"/>
      <c r="AD63" s="617"/>
      <c r="AE63" s="617"/>
      <c r="AF63" s="617"/>
      <c r="AG63" s="617"/>
      <c r="AH63" s="617"/>
      <c r="AI63" s="617"/>
      <c r="AJ63" s="617"/>
      <c r="AK63" s="617"/>
      <c r="AL63" s="617">
        <v>9360</v>
      </c>
      <c r="AM63" s="617">
        <v>9360</v>
      </c>
      <c r="AN63" s="617">
        <v>9360</v>
      </c>
      <c r="AO63" s="617">
        <v>9360</v>
      </c>
      <c r="AP63" s="617">
        <v>9360</v>
      </c>
      <c r="AQ63" s="617">
        <v>9360</v>
      </c>
      <c r="AR63" s="613" t="s">
        <v>554</v>
      </c>
      <c r="AS63" s="613" t="s">
        <v>3464</v>
      </c>
      <c r="AT63" s="613" t="s">
        <v>3464</v>
      </c>
      <c r="AU63" s="613" t="s">
        <v>1975</v>
      </c>
      <c r="AV63" s="613" t="s">
        <v>3471</v>
      </c>
      <c r="AW63" s="613" t="s">
        <v>554</v>
      </c>
      <c r="AX63" s="613" t="s">
        <v>3312</v>
      </c>
      <c r="AY63" s="619">
        <v>46218</v>
      </c>
      <c r="AZ63" s="620">
        <v>46219</v>
      </c>
      <c r="BA63" s="620"/>
      <c r="BB63" s="620">
        <v>46228</v>
      </c>
      <c r="BC63" s="622" t="s">
        <v>3472</v>
      </c>
      <c r="BD63" s="660" t="s">
        <v>3339</v>
      </c>
      <c r="BF63" s="521">
        <f t="shared" ref="BF63:BF113" si="11">J63/2</f>
        <v>0</v>
      </c>
    </row>
    <row r="64" s="521" customFormat="1" ht="35.25" hidden="1" customHeight="1" spans="1:58">
      <c r="A64" s="612">
        <f t="shared" si="9"/>
        <v>60</v>
      </c>
      <c r="B64" s="48" t="s">
        <v>209</v>
      </c>
      <c r="C64" s="49" t="s">
        <v>2947</v>
      </c>
      <c r="D64" s="51" t="s">
        <v>3473</v>
      </c>
      <c r="E64" s="51" t="s">
        <v>3474</v>
      </c>
      <c r="F64" s="56">
        <v>46147</v>
      </c>
      <c r="G64" s="56">
        <v>46218</v>
      </c>
      <c r="H64" s="56">
        <v>46218</v>
      </c>
      <c r="I64" s="614">
        <v>46196</v>
      </c>
      <c r="J64" s="615">
        <f t="shared" si="10"/>
        <v>0</v>
      </c>
      <c r="K64" s="616">
        <v>24</v>
      </c>
      <c r="L64" s="617"/>
      <c r="M64" s="617"/>
      <c r="N64" s="617"/>
      <c r="O64" s="617"/>
      <c r="P64" s="617"/>
      <c r="Q64" s="617"/>
      <c r="R64" s="617"/>
      <c r="S64" s="617"/>
      <c r="T64" s="617"/>
      <c r="U64" s="617"/>
      <c r="V64" s="617"/>
      <c r="W64" s="617"/>
      <c r="X64" s="617"/>
      <c r="Y64" s="617"/>
      <c r="Z64" s="617"/>
      <c r="AA64" s="617"/>
      <c r="AB64" s="617"/>
      <c r="AC64" s="617"/>
      <c r="AD64" s="617"/>
      <c r="AE64" s="617"/>
      <c r="AF64" s="617"/>
      <c r="AG64" s="617"/>
      <c r="AH64" s="617"/>
      <c r="AI64" s="617"/>
      <c r="AJ64" s="617"/>
      <c r="AK64" s="617"/>
      <c r="AL64" s="617">
        <v>4320</v>
      </c>
      <c r="AM64" s="617">
        <v>4320</v>
      </c>
      <c r="AN64" s="617">
        <v>4320</v>
      </c>
      <c r="AO64" s="617">
        <v>4320</v>
      </c>
      <c r="AP64" s="617">
        <v>4320</v>
      </c>
      <c r="AQ64" s="617">
        <v>4320</v>
      </c>
      <c r="AR64" s="613" t="s">
        <v>554</v>
      </c>
      <c r="AS64" s="613" t="s">
        <v>3464</v>
      </c>
      <c r="AT64" s="613" t="s">
        <v>3464</v>
      </c>
      <c r="AU64" s="613" t="s">
        <v>1975</v>
      </c>
      <c r="AV64" s="613" t="s">
        <v>3471</v>
      </c>
      <c r="AW64" s="613" t="s">
        <v>554</v>
      </c>
      <c r="AX64" s="613" t="s">
        <v>3312</v>
      </c>
      <c r="AY64" s="619">
        <v>46218</v>
      </c>
      <c r="AZ64" s="620">
        <v>46219</v>
      </c>
      <c r="BA64" s="620"/>
      <c r="BB64" s="620">
        <v>46230</v>
      </c>
      <c r="BC64" s="622" t="s">
        <v>3475</v>
      </c>
      <c r="BD64" s="660" t="s">
        <v>3339</v>
      </c>
      <c r="BF64" s="521">
        <f t="shared" si="11"/>
        <v>0</v>
      </c>
    </row>
    <row r="65" s="521" customFormat="1" ht="35.25" customHeight="1" spans="1:58">
      <c r="A65" s="612">
        <f t="shared" si="9"/>
        <v>61</v>
      </c>
      <c r="B65" s="48" t="s">
        <v>209</v>
      </c>
      <c r="C65" s="49" t="s">
        <v>2947</v>
      </c>
      <c r="D65" s="51" t="s">
        <v>3476</v>
      </c>
      <c r="E65" s="51" t="s">
        <v>3477</v>
      </c>
      <c r="F65" s="56">
        <v>46147</v>
      </c>
      <c r="G65" s="56">
        <v>46218</v>
      </c>
      <c r="H65" s="56">
        <v>46218</v>
      </c>
      <c r="I65" s="614">
        <v>46196</v>
      </c>
      <c r="J65" s="615">
        <f t="shared" si="10"/>
        <v>19440</v>
      </c>
      <c r="K65" s="616">
        <v>24</v>
      </c>
      <c r="L65" s="617"/>
      <c r="M65" s="617"/>
      <c r="N65" s="617"/>
      <c r="O65" s="617"/>
      <c r="P65" s="617"/>
      <c r="Q65" s="617"/>
      <c r="R65" s="617"/>
      <c r="S65" s="617"/>
      <c r="T65" s="617"/>
      <c r="U65" s="617"/>
      <c r="V65" s="617"/>
      <c r="W65" s="617"/>
      <c r="X65" s="617"/>
      <c r="Y65" s="617"/>
      <c r="Z65" s="617"/>
      <c r="AA65" s="617"/>
      <c r="AB65" s="617"/>
      <c r="AC65" s="617"/>
      <c r="AD65" s="617"/>
      <c r="AE65" s="617"/>
      <c r="AF65" s="617"/>
      <c r="AG65" s="617"/>
      <c r="AH65" s="617"/>
      <c r="AI65" s="617"/>
      <c r="AJ65" s="617"/>
      <c r="AK65" s="617"/>
      <c r="AL65" s="617">
        <v>3240</v>
      </c>
      <c r="AM65" s="617">
        <v>3240</v>
      </c>
      <c r="AN65" s="617">
        <v>3240</v>
      </c>
      <c r="AO65" s="617">
        <v>3240</v>
      </c>
      <c r="AP65" s="617">
        <v>3240</v>
      </c>
      <c r="AQ65" s="617">
        <v>3240</v>
      </c>
      <c r="AR65" s="613" t="s">
        <v>554</v>
      </c>
      <c r="AS65" s="613" t="s">
        <v>3464</v>
      </c>
      <c r="AT65" s="613" t="s">
        <v>3464</v>
      </c>
      <c r="AU65" s="613" t="s">
        <v>1975</v>
      </c>
      <c r="AV65" s="613" t="s">
        <v>3471</v>
      </c>
      <c r="AW65" s="613" t="s">
        <v>554</v>
      </c>
      <c r="AX65" s="613" t="s">
        <v>3312</v>
      </c>
      <c r="AY65" s="661">
        <v>46225</v>
      </c>
      <c r="AZ65" s="620">
        <v>46225</v>
      </c>
      <c r="BA65" s="620"/>
      <c r="BB65" s="620"/>
      <c r="BC65" s="622" t="s">
        <v>3478</v>
      </c>
      <c r="BD65" s="660" t="s">
        <v>3339</v>
      </c>
      <c r="BF65" s="521">
        <f t="shared" si="11"/>
        <v>9720</v>
      </c>
    </row>
    <row r="66" s="521" customFormat="1" ht="35.25" customHeight="1" spans="1:58">
      <c r="A66" s="612">
        <f t="shared" si="9"/>
        <v>62</v>
      </c>
      <c r="B66" s="48" t="s">
        <v>209</v>
      </c>
      <c r="C66" s="49" t="s">
        <v>2947</v>
      </c>
      <c r="D66" s="51" t="s">
        <v>3479</v>
      </c>
      <c r="E66" s="51" t="s">
        <v>3480</v>
      </c>
      <c r="F66" s="56">
        <v>46147</v>
      </c>
      <c r="G66" s="56">
        <v>46218</v>
      </c>
      <c r="H66" s="56">
        <v>46218</v>
      </c>
      <c r="I66" s="614">
        <v>46196</v>
      </c>
      <c r="J66" s="615">
        <f t="shared" si="10"/>
        <v>25920</v>
      </c>
      <c r="K66" s="616">
        <v>24</v>
      </c>
      <c r="L66" s="617"/>
      <c r="M66" s="617"/>
      <c r="N66" s="617"/>
      <c r="O66" s="617"/>
      <c r="P66" s="617"/>
      <c r="Q66" s="617"/>
      <c r="R66" s="617"/>
      <c r="S66" s="617"/>
      <c r="T66" s="617"/>
      <c r="U66" s="617"/>
      <c r="V66" s="617"/>
      <c r="W66" s="617"/>
      <c r="X66" s="617"/>
      <c r="Y66" s="617"/>
      <c r="Z66" s="617"/>
      <c r="AA66" s="617"/>
      <c r="AB66" s="617"/>
      <c r="AC66" s="617"/>
      <c r="AD66" s="617"/>
      <c r="AE66" s="617"/>
      <c r="AF66" s="617"/>
      <c r="AG66" s="617"/>
      <c r="AH66" s="617"/>
      <c r="AI66" s="617"/>
      <c r="AJ66" s="617"/>
      <c r="AK66" s="617"/>
      <c r="AL66" s="617">
        <v>4320</v>
      </c>
      <c r="AM66" s="617">
        <v>4320</v>
      </c>
      <c r="AN66" s="617">
        <v>4320</v>
      </c>
      <c r="AO66" s="617">
        <v>4320</v>
      </c>
      <c r="AP66" s="617">
        <v>4320</v>
      </c>
      <c r="AQ66" s="617">
        <v>4320</v>
      </c>
      <c r="AR66" s="613" t="s">
        <v>554</v>
      </c>
      <c r="AS66" s="613" t="s">
        <v>3464</v>
      </c>
      <c r="AT66" s="613" t="s">
        <v>3464</v>
      </c>
      <c r="AU66" s="613" t="s">
        <v>1975</v>
      </c>
      <c r="AV66" s="613" t="s">
        <v>3471</v>
      </c>
      <c r="AW66" s="613" t="s">
        <v>554</v>
      </c>
      <c r="AX66" s="613" t="s">
        <v>3312</v>
      </c>
      <c r="AY66" s="661">
        <v>46225</v>
      </c>
      <c r="AZ66" s="620">
        <v>46225</v>
      </c>
      <c r="BA66" s="620"/>
      <c r="BB66" s="620"/>
      <c r="BC66" s="622" t="s">
        <v>3481</v>
      </c>
      <c r="BD66" s="660" t="s">
        <v>3339</v>
      </c>
      <c r="BF66" s="521">
        <f t="shared" si="11"/>
        <v>12960</v>
      </c>
    </row>
    <row r="67" s="521" customFormat="1" ht="35.25" hidden="1" customHeight="1" spans="1:58">
      <c r="A67" s="612">
        <f t="shared" si="9"/>
        <v>63</v>
      </c>
      <c r="B67" s="48" t="s">
        <v>209</v>
      </c>
      <c r="C67" s="49" t="s">
        <v>3306</v>
      </c>
      <c r="D67" s="51" t="s">
        <v>3482</v>
      </c>
      <c r="E67" s="51" t="s">
        <v>3483</v>
      </c>
      <c r="F67" s="56">
        <v>46132</v>
      </c>
      <c r="G67" s="56">
        <v>46186</v>
      </c>
      <c r="H67" s="56">
        <v>46186</v>
      </c>
      <c r="I67" s="614">
        <v>46134</v>
      </c>
      <c r="J67" s="615">
        <f>SUM(L67:AQ67)</f>
        <v>4320</v>
      </c>
      <c r="K67" s="616">
        <v>24</v>
      </c>
      <c r="L67" s="617"/>
      <c r="M67" s="617"/>
      <c r="N67" s="617"/>
      <c r="O67" s="617"/>
      <c r="P67" s="617"/>
      <c r="Q67" s="617"/>
      <c r="R67" s="617"/>
      <c r="S67" s="617"/>
      <c r="T67" s="617"/>
      <c r="U67" s="617"/>
      <c r="V67" s="617"/>
      <c r="W67" s="617"/>
      <c r="X67" s="617"/>
      <c r="Y67" s="617"/>
      <c r="Z67" s="617"/>
      <c r="AA67" s="617"/>
      <c r="AB67" s="617"/>
      <c r="AC67" s="617"/>
      <c r="AD67" s="617"/>
      <c r="AE67" s="617"/>
      <c r="AF67" s="617"/>
      <c r="AG67" s="617"/>
      <c r="AH67" s="617"/>
      <c r="AI67" s="617"/>
      <c r="AJ67" s="617"/>
      <c r="AK67" s="617"/>
      <c r="AL67" s="617">
        <v>720</v>
      </c>
      <c r="AM67" s="617">
        <v>720</v>
      </c>
      <c r="AN67" s="617">
        <v>720</v>
      </c>
      <c r="AO67" s="617">
        <v>720</v>
      </c>
      <c r="AP67" s="617">
        <v>720</v>
      </c>
      <c r="AQ67" s="617">
        <v>720</v>
      </c>
      <c r="AR67" s="613" t="s">
        <v>3458</v>
      </c>
      <c r="AS67" s="613" t="s">
        <v>1393</v>
      </c>
      <c r="AT67" s="613" t="s">
        <v>1393</v>
      </c>
      <c r="AU67" s="613" t="s">
        <v>519</v>
      </c>
      <c r="AV67" s="613" t="s">
        <v>1393</v>
      </c>
      <c r="AW67" s="613" t="s">
        <v>2147</v>
      </c>
      <c r="AX67" s="613" t="s">
        <v>3312</v>
      </c>
      <c r="AY67" s="661">
        <v>46227</v>
      </c>
      <c r="AZ67" s="620">
        <v>46232</v>
      </c>
      <c r="BA67" s="620"/>
      <c r="BB67" s="620">
        <v>46252</v>
      </c>
      <c r="BC67" s="1292" t="s">
        <v>3484</v>
      </c>
      <c r="BD67" s="660" t="s">
        <v>3339</v>
      </c>
      <c r="BF67" s="521">
        <f t="shared" si="11"/>
        <v>2160</v>
      </c>
    </row>
    <row r="68" s="521" customFormat="1" ht="35.25" hidden="1" customHeight="1" spans="1:58">
      <c r="A68" s="612">
        <f t="shared" si="9"/>
        <v>64</v>
      </c>
      <c r="B68" s="48" t="s">
        <v>209</v>
      </c>
      <c r="C68" s="49" t="s">
        <v>3306</v>
      </c>
      <c r="D68" s="51" t="s">
        <v>3485</v>
      </c>
      <c r="E68" s="51" t="s">
        <v>3486</v>
      </c>
      <c r="F68" s="56">
        <v>46132</v>
      </c>
      <c r="G68" s="56">
        <v>46186</v>
      </c>
      <c r="H68" s="56">
        <v>46186</v>
      </c>
      <c r="I68" s="614">
        <v>46134</v>
      </c>
      <c r="J68" s="615">
        <f>SUM(L68:AQ68)</f>
        <v>2160</v>
      </c>
      <c r="K68" s="616">
        <v>24</v>
      </c>
      <c r="L68" s="617"/>
      <c r="M68" s="617"/>
      <c r="N68" s="617"/>
      <c r="O68" s="617"/>
      <c r="P68" s="617"/>
      <c r="Q68" s="617"/>
      <c r="R68" s="617"/>
      <c r="S68" s="617"/>
      <c r="T68" s="617"/>
      <c r="U68" s="617"/>
      <c r="V68" s="617"/>
      <c r="W68" s="617"/>
      <c r="X68" s="617"/>
      <c r="Y68" s="617"/>
      <c r="Z68" s="617"/>
      <c r="AA68" s="617"/>
      <c r="AB68" s="617"/>
      <c r="AC68" s="617"/>
      <c r="AD68" s="617"/>
      <c r="AE68" s="617"/>
      <c r="AF68" s="617"/>
      <c r="AG68" s="617"/>
      <c r="AH68" s="617"/>
      <c r="AI68" s="617"/>
      <c r="AJ68" s="617"/>
      <c r="AK68" s="617"/>
      <c r="AL68" s="617">
        <v>360</v>
      </c>
      <c r="AM68" s="617">
        <v>360</v>
      </c>
      <c r="AN68" s="617">
        <v>360</v>
      </c>
      <c r="AO68" s="617">
        <v>360</v>
      </c>
      <c r="AP68" s="617">
        <v>360</v>
      </c>
      <c r="AQ68" s="617">
        <v>360</v>
      </c>
      <c r="AR68" s="613" t="s">
        <v>3458</v>
      </c>
      <c r="AS68" s="613" t="s">
        <v>1393</v>
      </c>
      <c r="AT68" s="613" t="s">
        <v>1393</v>
      </c>
      <c r="AU68" s="613" t="s">
        <v>519</v>
      </c>
      <c r="AV68" s="613" t="s">
        <v>1393</v>
      </c>
      <c r="AW68" s="613" t="s">
        <v>2147</v>
      </c>
      <c r="AX68" s="613" t="s">
        <v>3312</v>
      </c>
      <c r="AY68" s="661">
        <v>46233</v>
      </c>
      <c r="AZ68" s="620">
        <v>46232</v>
      </c>
      <c r="BA68" s="620"/>
      <c r="BB68" s="620">
        <v>46260</v>
      </c>
      <c r="BC68" s="1292" t="s">
        <v>3487</v>
      </c>
      <c r="BD68" s="660" t="s">
        <v>3339</v>
      </c>
      <c r="BF68" s="521">
        <f t="shared" si="11"/>
        <v>1080</v>
      </c>
    </row>
    <row r="69" s="521" customFormat="1" ht="35.25" customHeight="1" spans="1:58">
      <c r="A69" s="612">
        <f t="shared" si="9"/>
        <v>65</v>
      </c>
      <c r="B69" s="48" t="s">
        <v>209</v>
      </c>
      <c r="C69" s="49" t="s">
        <v>2947</v>
      </c>
      <c r="D69" s="51" t="s">
        <v>3488</v>
      </c>
      <c r="E69" s="51" t="s">
        <v>3489</v>
      </c>
      <c r="F69" s="56">
        <v>46147</v>
      </c>
      <c r="G69" s="56">
        <v>46218</v>
      </c>
      <c r="H69" s="56">
        <v>46218</v>
      </c>
      <c r="I69" s="614">
        <v>46196</v>
      </c>
      <c r="J69" s="615">
        <f t="shared" ref="J69:J112" si="12">SUBTOTAL(9,L69:AQ69)</f>
        <v>17280</v>
      </c>
      <c r="K69" s="616">
        <v>24</v>
      </c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617"/>
      <c r="AB69" s="617"/>
      <c r="AC69" s="617"/>
      <c r="AD69" s="617"/>
      <c r="AE69" s="617"/>
      <c r="AF69" s="617"/>
      <c r="AG69" s="617"/>
      <c r="AH69" s="617"/>
      <c r="AI69" s="617"/>
      <c r="AJ69" s="617"/>
      <c r="AK69" s="617"/>
      <c r="AL69" s="617">
        <v>2880</v>
      </c>
      <c r="AM69" s="617">
        <v>2880</v>
      </c>
      <c r="AN69" s="617">
        <v>2880</v>
      </c>
      <c r="AO69" s="617">
        <v>2880</v>
      </c>
      <c r="AP69" s="617">
        <v>2880</v>
      </c>
      <c r="AQ69" s="617">
        <v>2880</v>
      </c>
      <c r="AR69" s="613" t="s">
        <v>554</v>
      </c>
      <c r="AS69" s="613" t="s">
        <v>3464</v>
      </c>
      <c r="AT69" s="613" t="s">
        <v>3464</v>
      </c>
      <c r="AU69" s="613" t="s">
        <v>1975</v>
      </c>
      <c r="AV69" s="613" t="s">
        <v>3471</v>
      </c>
      <c r="AW69" s="613" t="s">
        <v>554</v>
      </c>
      <c r="AX69" s="613" t="s">
        <v>3312</v>
      </c>
      <c r="AY69" s="661">
        <v>46232</v>
      </c>
      <c r="AZ69" s="620">
        <v>46232</v>
      </c>
      <c r="BA69" s="620"/>
      <c r="BB69" s="620"/>
      <c r="BC69" s="622" t="s">
        <v>3490</v>
      </c>
      <c r="BD69" s="660" t="s">
        <v>3339</v>
      </c>
      <c r="BF69" s="521">
        <f t="shared" si="11"/>
        <v>8640</v>
      </c>
    </row>
    <row r="70" s="521" customFormat="1" ht="35.25" hidden="1" customHeight="1" spans="1:58">
      <c r="A70" s="612">
        <f t="shared" si="9"/>
        <v>66</v>
      </c>
      <c r="B70" s="48" t="s">
        <v>209</v>
      </c>
      <c r="C70" s="49" t="s">
        <v>2947</v>
      </c>
      <c r="D70" s="51" t="s">
        <v>3491</v>
      </c>
      <c r="E70" s="51" t="s">
        <v>3492</v>
      </c>
      <c r="F70" s="56">
        <v>46154</v>
      </c>
      <c r="G70" s="56">
        <v>46242</v>
      </c>
      <c r="H70" s="56">
        <v>46242</v>
      </c>
      <c r="I70" s="614">
        <v>46197</v>
      </c>
      <c r="J70" s="615">
        <f t="shared" si="12"/>
        <v>0</v>
      </c>
      <c r="K70" s="616">
        <v>24</v>
      </c>
      <c r="L70" s="617"/>
      <c r="M70" s="617"/>
      <c r="N70" s="617"/>
      <c r="O70" s="617"/>
      <c r="P70" s="617"/>
      <c r="Q70" s="617"/>
      <c r="R70" s="617"/>
      <c r="S70" s="617"/>
      <c r="T70" s="617"/>
      <c r="U70" s="617"/>
      <c r="V70" s="617"/>
      <c r="W70" s="617"/>
      <c r="X70" s="617"/>
      <c r="Y70" s="617"/>
      <c r="Z70" s="617"/>
      <c r="AA70" s="617"/>
      <c r="AB70" s="617"/>
      <c r="AC70" s="617"/>
      <c r="AD70" s="617"/>
      <c r="AE70" s="617"/>
      <c r="AF70" s="617"/>
      <c r="AG70" s="617"/>
      <c r="AH70" s="617"/>
      <c r="AI70" s="617"/>
      <c r="AJ70" s="617"/>
      <c r="AK70" s="617"/>
      <c r="AL70" s="617">
        <v>720</v>
      </c>
      <c r="AM70" s="617">
        <v>720</v>
      </c>
      <c r="AN70" s="617">
        <v>720</v>
      </c>
      <c r="AO70" s="617">
        <v>720</v>
      </c>
      <c r="AP70" s="617">
        <v>720</v>
      </c>
      <c r="AQ70" s="617">
        <v>720</v>
      </c>
      <c r="AR70" s="613" t="s">
        <v>1600</v>
      </c>
      <c r="AS70" s="613" t="s">
        <v>2514</v>
      </c>
      <c r="AT70" s="613" t="s">
        <v>2514</v>
      </c>
      <c r="AU70" s="613" t="s">
        <v>3493</v>
      </c>
      <c r="AV70" s="613" t="s">
        <v>1227</v>
      </c>
      <c r="AW70" s="613" t="s">
        <v>1600</v>
      </c>
      <c r="AX70" s="621" t="s">
        <v>3494</v>
      </c>
      <c r="AY70" s="619">
        <v>46242</v>
      </c>
      <c r="AZ70" s="620">
        <v>46245</v>
      </c>
      <c r="BA70" s="620"/>
      <c r="BB70" s="620">
        <v>46275</v>
      </c>
      <c r="BC70" s="622" t="s">
        <v>3495</v>
      </c>
      <c r="BD70" s="662" t="s">
        <v>3305</v>
      </c>
      <c r="BF70" s="521">
        <f t="shared" si="11"/>
        <v>0</v>
      </c>
    </row>
    <row r="71" s="521" customFormat="1" ht="35.25" hidden="1" customHeight="1" spans="1:58">
      <c r="A71" s="612">
        <f t="shared" si="9"/>
        <v>67</v>
      </c>
      <c r="B71" s="48" t="s">
        <v>209</v>
      </c>
      <c r="C71" s="49" t="s">
        <v>2947</v>
      </c>
      <c r="D71" s="51" t="s">
        <v>3496</v>
      </c>
      <c r="E71" s="51" t="s">
        <v>3497</v>
      </c>
      <c r="F71" s="56">
        <v>46154</v>
      </c>
      <c r="G71" s="56">
        <v>46242</v>
      </c>
      <c r="H71" s="56">
        <v>46242</v>
      </c>
      <c r="I71" s="614">
        <v>46197</v>
      </c>
      <c r="J71" s="615">
        <f t="shared" si="12"/>
        <v>0</v>
      </c>
      <c r="K71" s="616">
        <v>24</v>
      </c>
      <c r="L71" s="617"/>
      <c r="M71" s="617"/>
      <c r="N71" s="617"/>
      <c r="O71" s="617"/>
      <c r="P71" s="617"/>
      <c r="Q71" s="617"/>
      <c r="R71" s="617"/>
      <c r="S71" s="617"/>
      <c r="T71" s="617"/>
      <c r="U71" s="617"/>
      <c r="V71" s="617"/>
      <c r="W71" s="617"/>
      <c r="X71" s="617"/>
      <c r="Y71" s="617"/>
      <c r="Z71" s="617"/>
      <c r="AA71" s="617"/>
      <c r="AB71" s="617"/>
      <c r="AC71" s="617"/>
      <c r="AD71" s="617"/>
      <c r="AE71" s="617"/>
      <c r="AF71" s="617"/>
      <c r="AG71" s="617"/>
      <c r="AH71" s="617"/>
      <c r="AI71" s="617"/>
      <c r="AJ71" s="617"/>
      <c r="AK71" s="617"/>
      <c r="AL71" s="617">
        <v>3600</v>
      </c>
      <c r="AM71" s="617">
        <v>3600</v>
      </c>
      <c r="AN71" s="617">
        <v>3600</v>
      </c>
      <c r="AO71" s="617">
        <v>3600</v>
      </c>
      <c r="AP71" s="617">
        <v>3600</v>
      </c>
      <c r="AQ71" s="617">
        <v>3600</v>
      </c>
      <c r="AR71" s="613" t="s">
        <v>1600</v>
      </c>
      <c r="AS71" s="613" t="s">
        <v>2514</v>
      </c>
      <c r="AT71" s="613" t="s">
        <v>2514</v>
      </c>
      <c r="AU71" s="613" t="s">
        <v>3493</v>
      </c>
      <c r="AV71" s="613" t="s">
        <v>1227</v>
      </c>
      <c r="AW71" s="613" t="s">
        <v>1600</v>
      </c>
      <c r="AX71" s="613" t="s">
        <v>3312</v>
      </c>
      <c r="AY71" s="619">
        <v>46242</v>
      </c>
      <c r="AZ71" s="620">
        <v>46245</v>
      </c>
      <c r="BA71" s="620"/>
      <c r="BB71" s="620">
        <v>46254</v>
      </c>
      <c r="BC71" s="622" t="s">
        <v>3498</v>
      </c>
      <c r="BD71" s="663" t="s">
        <v>3339</v>
      </c>
      <c r="BF71" s="521">
        <f t="shared" si="11"/>
        <v>0</v>
      </c>
    </row>
    <row r="72" s="521" customFormat="1" ht="39.95" hidden="1" customHeight="1" spans="1:58">
      <c r="A72" s="612">
        <f t="shared" si="9"/>
        <v>68</v>
      </c>
      <c r="B72" s="48" t="s">
        <v>209</v>
      </c>
      <c r="C72" s="49" t="s">
        <v>2947</v>
      </c>
      <c r="D72" s="51" t="s">
        <v>3499</v>
      </c>
      <c r="E72" s="51" t="s">
        <v>3500</v>
      </c>
      <c r="F72" s="56">
        <v>46154</v>
      </c>
      <c r="G72" s="56">
        <v>46242</v>
      </c>
      <c r="H72" s="56">
        <v>46242</v>
      </c>
      <c r="I72" s="614">
        <v>46197</v>
      </c>
      <c r="J72" s="615">
        <f t="shared" si="12"/>
        <v>0</v>
      </c>
      <c r="K72" s="616">
        <v>24</v>
      </c>
      <c r="L72" s="617"/>
      <c r="M72" s="617"/>
      <c r="N72" s="617"/>
      <c r="O72" s="617"/>
      <c r="P72" s="617"/>
      <c r="Q72" s="617"/>
      <c r="R72" s="617"/>
      <c r="S72" s="617"/>
      <c r="T72" s="617"/>
      <c r="U72" s="617"/>
      <c r="V72" s="617"/>
      <c r="W72" s="617"/>
      <c r="X72" s="617"/>
      <c r="Y72" s="617"/>
      <c r="Z72" s="617"/>
      <c r="AA72" s="617"/>
      <c r="AB72" s="617"/>
      <c r="AC72" s="617"/>
      <c r="AD72" s="617"/>
      <c r="AE72" s="617"/>
      <c r="AF72" s="617"/>
      <c r="AG72" s="617"/>
      <c r="AH72" s="617"/>
      <c r="AI72" s="617"/>
      <c r="AJ72" s="617"/>
      <c r="AK72" s="617"/>
      <c r="AL72" s="617">
        <v>720</v>
      </c>
      <c r="AM72" s="617">
        <v>720</v>
      </c>
      <c r="AN72" s="617">
        <v>720</v>
      </c>
      <c r="AO72" s="617">
        <v>720</v>
      </c>
      <c r="AP72" s="617">
        <v>720</v>
      </c>
      <c r="AQ72" s="617">
        <v>720</v>
      </c>
      <c r="AR72" s="613" t="s">
        <v>1600</v>
      </c>
      <c r="AS72" s="613" t="s">
        <v>2514</v>
      </c>
      <c r="AT72" s="613" t="s">
        <v>2514</v>
      </c>
      <c r="AU72" s="613" t="s">
        <v>3493</v>
      </c>
      <c r="AV72" s="613" t="s">
        <v>1227</v>
      </c>
      <c r="AW72" s="613" t="s">
        <v>1600</v>
      </c>
      <c r="AX72" s="621" t="s">
        <v>3494</v>
      </c>
      <c r="AY72" s="619">
        <v>46242</v>
      </c>
      <c r="AZ72" s="620">
        <v>46245</v>
      </c>
      <c r="BA72" s="620"/>
      <c r="BB72" s="620">
        <v>46267</v>
      </c>
      <c r="BC72" s="622" t="s">
        <v>3501</v>
      </c>
      <c r="BD72" s="662" t="s">
        <v>3305</v>
      </c>
      <c r="BF72" s="521">
        <f t="shared" si="11"/>
        <v>0</v>
      </c>
    </row>
    <row r="73" s="521" customFormat="1" ht="35.25" hidden="1" customHeight="1" spans="1:58">
      <c r="A73" s="612">
        <f t="shared" si="9"/>
        <v>69</v>
      </c>
      <c r="B73" s="48" t="s">
        <v>209</v>
      </c>
      <c r="C73" s="49" t="s">
        <v>2947</v>
      </c>
      <c r="D73" s="51" t="s">
        <v>3502</v>
      </c>
      <c r="E73" s="51" t="s">
        <v>3503</v>
      </c>
      <c r="F73" s="56">
        <v>46154</v>
      </c>
      <c r="G73" s="56">
        <v>46242</v>
      </c>
      <c r="H73" s="56">
        <v>46242</v>
      </c>
      <c r="I73" s="614">
        <v>46197</v>
      </c>
      <c r="J73" s="615">
        <f t="shared" si="12"/>
        <v>0</v>
      </c>
      <c r="K73" s="616">
        <v>24</v>
      </c>
      <c r="L73" s="617"/>
      <c r="M73" s="617"/>
      <c r="N73" s="617"/>
      <c r="O73" s="617"/>
      <c r="P73" s="617"/>
      <c r="Q73" s="617"/>
      <c r="R73" s="617"/>
      <c r="S73" s="617"/>
      <c r="T73" s="617"/>
      <c r="U73" s="617"/>
      <c r="V73" s="617"/>
      <c r="W73" s="617"/>
      <c r="X73" s="617"/>
      <c r="Y73" s="617"/>
      <c r="Z73" s="617"/>
      <c r="AA73" s="617"/>
      <c r="AB73" s="617"/>
      <c r="AC73" s="617"/>
      <c r="AD73" s="617"/>
      <c r="AE73" s="617"/>
      <c r="AF73" s="617"/>
      <c r="AG73" s="617"/>
      <c r="AH73" s="617"/>
      <c r="AI73" s="617"/>
      <c r="AJ73" s="617"/>
      <c r="AK73" s="617"/>
      <c r="AL73" s="617">
        <v>2160</v>
      </c>
      <c r="AM73" s="617">
        <v>2160</v>
      </c>
      <c r="AN73" s="617">
        <v>2160</v>
      </c>
      <c r="AO73" s="617">
        <v>2160</v>
      </c>
      <c r="AP73" s="617">
        <v>2160</v>
      </c>
      <c r="AQ73" s="617">
        <v>2160</v>
      </c>
      <c r="AR73" s="613" t="s">
        <v>1600</v>
      </c>
      <c r="AS73" s="613" t="s">
        <v>2514</v>
      </c>
      <c r="AT73" s="613" t="s">
        <v>2514</v>
      </c>
      <c r="AU73" s="613" t="s">
        <v>3493</v>
      </c>
      <c r="AV73" s="613" t="s">
        <v>1227</v>
      </c>
      <c r="AW73" s="613" t="s">
        <v>1600</v>
      </c>
      <c r="AX73" s="613" t="s">
        <v>3312</v>
      </c>
      <c r="AY73" s="619">
        <v>46242</v>
      </c>
      <c r="AZ73" s="620">
        <v>46245</v>
      </c>
      <c r="BA73" s="620"/>
      <c r="BB73" s="620">
        <v>46248</v>
      </c>
      <c r="BC73" s="622" t="s">
        <v>3504</v>
      </c>
      <c r="BD73" s="663" t="s">
        <v>3339</v>
      </c>
      <c r="BF73" s="521">
        <f t="shared" si="11"/>
        <v>0</v>
      </c>
    </row>
    <row r="74" s="521" customFormat="1" ht="35.25" hidden="1" customHeight="1" spans="1:58">
      <c r="A74" s="612">
        <f t="shared" si="9"/>
        <v>70</v>
      </c>
      <c r="B74" s="48" t="s">
        <v>209</v>
      </c>
      <c r="C74" s="49" t="s">
        <v>2947</v>
      </c>
      <c r="D74" s="51" t="s">
        <v>3505</v>
      </c>
      <c r="E74" s="51" t="s">
        <v>3506</v>
      </c>
      <c r="F74" s="56">
        <v>46154</v>
      </c>
      <c r="G74" s="56">
        <v>46242</v>
      </c>
      <c r="H74" s="56">
        <v>46242</v>
      </c>
      <c r="I74" s="614">
        <v>46197</v>
      </c>
      <c r="J74" s="615">
        <f t="shared" si="12"/>
        <v>0</v>
      </c>
      <c r="K74" s="616">
        <v>24</v>
      </c>
      <c r="L74" s="617"/>
      <c r="M74" s="617"/>
      <c r="N74" s="617"/>
      <c r="O74" s="617"/>
      <c r="P74" s="617"/>
      <c r="Q74" s="617"/>
      <c r="R74" s="617"/>
      <c r="S74" s="617"/>
      <c r="T74" s="617"/>
      <c r="U74" s="617"/>
      <c r="V74" s="617"/>
      <c r="W74" s="617"/>
      <c r="X74" s="617"/>
      <c r="Y74" s="617"/>
      <c r="Z74" s="617"/>
      <c r="AA74" s="617"/>
      <c r="AB74" s="617"/>
      <c r="AC74" s="617"/>
      <c r="AD74" s="617"/>
      <c r="AE74" s="617"/>
      <c r="AF74" s="617"/>
      <c r="AG74" s="617"/>
      <c r="AH74" s="617"/>
      <c r="AI74" s="617"/>
      <c r="AJ74" s="617"/>
      <c r="AK74" s="617"/>
      <c r="AL74" s="617">
        <v>1440</v>
      </c>
      <c r="AM74" s="617">
        <v>1440</v>
      </c>
      <c r="AN74" s="617">
        <v>1440</v>
      </c>
      <c r="AO74" s="617">
        <v>1440</v>
      </c>
      <c r="AP74" s="617">
        <v>1440</v>
      </c>
      <c r="AQ74" s="617">
        <v>1440</v>
      </c>
      <c r="AR74" s="613" t="s">
        <v>1600</v>
      </c>
      <c r="AS74" s="613" t="s">
        <v>2514</v>
      </c>
      <c r="AT74" s="613" t="s">
        <v>2514</v>
      </c>
      <c r="AU74" s="613" t="s">
        <v>3493</v>
      </c>
      <c r="AV74" s="613" t="s">
        <v>1227</v>
      </c>
      <c r="AW74" s="613" t="s">
        <v>1600</v>
      </c>
      <c r="AX74" s="613" t="s">
        <v>3312</v>
      </c>
      <c r="AY74" s="619">
        <v>46242</v>
      </c>
      <c r="AZ74" s="620">
        <v>46245</v>
      </c>
      <c r="BA74" s="620"/>
      <c r="BB74" s="620">
        <v>46252</v>
      </c>
      <c r="BC74" s="622" t="s">
        <v>3507</v>
      </c>
      <c r="BD74" s="663" t="s">
        <v>3339</v>
      </c>
      <c r="BF74" s="521">
        <f t="shared" si="11"/>
        <v>0</v>
      </c>
    </row>
    <row r="75" s="521" customFormat="1" ht="35.25" customHeight="1" spans="1:58">
      <c r="A75" s="612">
        <f t="shared" si="9"/>
        <v>71</v>
      </c>
      <c r="B75" s="48" t="s">
        <v>209</v>
      </c>
      <c r="C75" s="49" t="s">
        <v>2947</v>
      </c>
      <c r="D75" s="51" t="s">
        <v>3508</v>
      </c>
      <c r="E75" s="51" t="s">
        <v>3509</v>
      </c>
      <c r="F75" s="56">
        <v>46147</v>
      </c>
      <c r="G75" s="56">
        <v>46218</v>
      </c>
      <c r="H75" s="56">
        <v>46218</v>
      </c>
      <c r="I75" s="614">
        <v>46196</v>
      </c>
      <c r="J75" s="615">
        <f t="shared" si="12"/>
        <v>17280</v>
      </c>
      <c r="K75" s="616">
        <v>24</v>
      </c>
      <c r="L75" s="617"/>
      <c r="M75" s="617"/>
      <c r="N75" s="617"/>
      <c r="O75" s="617"/>
      <c r="P75" s="617"/>
      <c r="Q75" s="617"/>
      <c r="R75" s="617"/>
      <c r="S75" s="617"/>
      <c r="T75" s="617"/>
      <c r="U75" s="617"/>
      <c r="V75" s="617"/>
      <c r="W75" s="617"/>
      <c r="X75" s="617"/>
      <c r="Y75" s="617"/>
      <c r="Z75" s="617"/>
      <c r="AA75" s="617"/>
      <c r="AB75" s="617"/>
      <c r="AC75" s="617"/>
      <c r="AD75" s="617"/>
      <c r="AE75" s="617"/>
      <c r="AF75" s="617"/>
      <c r="AG75" s="617"/>
      <c r="AH75" s="617"/>
      <c r="AI75" s="617"/>
      <c r="AJ75" s="617"/>
      <c r="AK75" s="617"/>
      <c r="AL75" s="617">
        <v>2880</v>
      </c>
      <c r="AM75" s="617">
        <v>2880</v>
      </c>
      <c r="AN75" s="617">
        <v>2880</v>
      </c>
      <c r="AO75" s="617">
        <v>2880</v>
      </c>
      <c r="AP75" s="617">
        <v>2880</v>
      </c>
      <c r="AQ75" s="617">
        <v>2880</v>
      </c>
      <c r="AR75" s="613" t="s">
        <v>554</v>
      </c>
      <c r="AS75" s="613" t="s">
        <v>3464</v>
      </c>
      <c r="AT75" s="613" t="s">
        <v>3464</v>
      </c>
      <c r="AU75" s="613" t="s">
        <v>1975</v>
      </c>
      <c r="AV75" s="613" t="s">
        <v>3471</v>
      </c>
      <c r="AW75" s="613" t="s">
        <v>554</v>
      </c>
      <c r="AX75" s="613" t="s">
        <v>3312</v>
      </c>
      <c r="AY75" s="664">
        <v>46245</v>
      </c>
      <c r="AZ75" s="620">
        <v>46245</v>
      </c>
      <c r="BA75" s="620"/>
      <c r="BB75" s="620"/>
      <c r="BC75" s="622" t="s">
        <v>3510</v>
      </c>
      <c r="BD75" s="660" t="s">
        <v>3339</v>
      </c>
      <c r="BF75" s="521">
        <f t="shared" si="11"/>
        <v>8640</v>
      </c>
    </row>
    <row r="76" s="521" customFormat="1" ht="35.25" hidden="1" customHeight="1" spans="1:58">
      <c r="A76" s="612">
        <f t="shared" si="9"/>
        <v>72</v>
      </c>
      <c r="B76" s="48" t="s">
        <v>209</v>
      </c>
      <c r="C76" s="49" t="s">
        <v>2947</v>
      </c>
      <c r="D76" s="51" t="s">
        <v>3511</v>
      </c>
      <c r="E76" s="51" t="s">
        <v>3512</v>
      </c>
      <c r="F76" s="56">
        <v>46154</v>
      </c>
      <c r="G76" s="56">
        <v>46255</v>
      </c>
      <c r="H76" s="56">
        <v>46255</v>
      </c>
      <c r="I76" s="614">
        <v>46198</v>
      </c>
      <c r="J76" s="615">
        <f t="shared" si="12"/>
        <v>0</v>
      </c>
      <c r="K76" s="616">
        <v>24</v>
      </c>
      <c r="L76" s="617"/>
      <c r="M76" s="617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  <c r="Y76" s="617"/>
      <c r="Z76" s="617"/>
      <c r="AA76" s="617"/>
      <c r="AB76" s="617"/>
      <c r="AC76" s="617"/>
      <c r="AD76" s="617"/>
      <c r="AE76" s="617"/>
      <c r="AF76" s="617"/>
      <c r="AG76" s="617"/>
      <c r="AH76" s="617"/>
      <c r="AI76" s="617"/>
      <c r="AJ76" s="617"/>
      <c r="AK76" s="617"/>
      <c r="AL76" s="617">
        <v>1440</v>
      </c>
      <c r="AM76" s="617">
        <v>1440</v>
      </c>
      <c r="AN76" s="617">
        <v>1440</v>
      </c>
      <c r="AO76" s="617">
        <v>1440</v>
      </c>
      <c r="AP76" s="617">
        <v>1440</v>
      </c>
      <c r="AQ76" s="617">
        <v>1440</v>
      </c>
      <c r="AR76" s="621" t="s">
        <v>373</v>
      </c>
      <c r="AS76" s="613" t="s">
        <v>2514</v>
      </c>
      <c r="AT76" s="613" t="s">
        <v>2514</v>
      </c>
      <c r="AU76" s="613" t="s">
        <v>3493</v>
      </c>
      <c r="AV76" s="613" t="s">
        <v>1227</v>
      </c>
      <c r="AW76" s="613" t="s">
        <v>373</v>
      </c>
      <c r="AX76" s="613" t="s">
        <v>3513</v>
      </c>
      <c r="AY76" s="619">
        <v>46245</v>
      </c>
      <c r="AZ76" s="620">
        <v>46248</v>
      </c>
      <c r="BA76" s="620"/>
      <c r="BB76" s="620">
        <v>46252</v>
      </c>
      <c r="BC76" s="622" t="s">
        <v>3514</v>
      </c>
      <c r="BD76" s="663" t="s">
        <v>3305</v>
      </c>
      <c r="BF76" s="521">
        <f t="shared" si="11"/>
        <v>0</v>
      </c>
    </row>
    <row r="77" s="521" customFormat="1" ht="42" customHeight="1" spans="1:58">
      <c r="A77" s="612">
        <f t="shared" si="9"/>
        <v>73</v>
      </c>
      <c r="B77" s="48" t="s">
        <v>209</v>
      </c>
      <c r="C77" s="49" t="s">
        <v>2947</v>
      </c>
      <c r="D77" s="51" t="s">
        <v>3515</v>
      </c>
      <c r="E77" s="51" t="s">
        <v>3516</v>
      </c>
      <c r="F77" s="56">
        <v>46154</v>
      </c>
      <c r="G77" s="56">
        <v>46242</v>
      </c>
      <c r="H77" s="56">
        <v>46242</v>
      </c>
      <c r="I77" s="614">
        <v>46197</v>
      </c>
      <c r="J77" s="615">
        <f t="shared" si="12"/>
        <v>21600</v>
      </c>
      <c r="K77" s="616">
        <v>24</v>
      </c>
      <c r="L77" s="617"/>
      <c r="M77" s="617"/>
      <c r="N77" s="617"/>
      <c r="O77" s="617"/>
      <c r="P77" s="617"/>
      <c r="Q77" s="617"/>
      <c r="R77" s="617"/>
      <c r="S77" s="617"/>
      <c r="T77" s="617"/>
      <c r="U77" s="617"/>
      <c r="V77" s="617"/>
      <c r="W77" s="617"/>
      <c r="X77" s="617"/>
      <c r="Y77" s="617"/>
      <c r="Z77" s="617"/>
      <c r="AA77" s="617"/>
      <c r="AB77" s="617"/>
      <c r="AC77" s="617"/>
      <c r="AD77" s="617"/>
      <c r="AE77" s="617"/>
      <c r="AF77" s="617"/>
      <c r="AG77" s="617"/>
      <c r="AH77" s="617"/>
      <c r="AI77" s="617"/>
      <c r="AJ77" s="617"/>
      <c r="AK77" s="617"/>
      <c r="AL77" s="617">
        <v>3600</v>
      </c>
      <c r="AM77" s="617">
        <v>3600</v>
      </c>
      <c r="AN77" s="617">
        <v>3600</v>
      </c>
      <c r="AO77" s="617">
        <v>3600</v>
      </c>
      <c r="AP77" s="617">
        <v>3600</v>
      </c>
      <c r="AQ77" s="617">
        <v>3600</v>
      </c>
      <c r="AR77" s="613" t="s">
        <v>1600</v>
      </c>
      <c r="AS77" s="613" t="s">
        <v>2514</v>
      </c>
      <c r="AT77" s="613" t="s">
        <v>2514</v>
      </c>
      <c r="AU77" s="613" t="s">
        <v>3493</v>
      </c>
      <c r="AV77" s="613" t="s">
        <v>1227</v>
      </c>
      <c r="AW77" s="613" t="s">
        <v>1600</v>
      </c>
      <c r="AX77" s="621" t="s">
        <v>3494</v>
      </c>
      <c r="AY77" s="619">
        <v>46246</v>
      </c>
      <c r="AZ77" s="620">
        <v>46248</v>
      </c>
      <c r="BA77" s="620"/>
      <c r="BB77" s="620"/>
      <c r="BC77" s="622" t="s">
        <v>3517</v>
      </c>
      <c r="BD77" s="662" t="s">
        <v>3305</v>
      </c>
      <c r="BF77" s="521">
        <f t="shared" si="11"/>
        <v>10800</v>
      </c>
    </row>
    <row r="78" s="521" customFormat="1" ht="35.25" hidden="1" customHeight="1" spans="1:58">
      <c r="A78" s="612">
        <f t="shared" si="9"/>
        <v>74</v>
      </c>
      <c r="B78" s="48" t="s">
        <v>209</v>
      </c>
      <c r="C78" s="49" t="s">
        <v>2947</v>
      </c>
      <c r="D78" s="51" t="s">
        <v>3518</v>
      </c>
      <c r="E78" s="51" t="s">
        <v>3519</v>
      </c>
      <c r="F78" s="56">
        <v>46154</v>
      </c>
      <c r="G78" s="56">
        <v>46248</v>
      </c>
      <c r="H78" s="56">
        <v>46248</v>
      </c>
      <c r="I78" s="614">
        <v>46198</v>
      </c>
      <c r="J78" s="615">
        <f t="shared" si="12"/>
        <v>0</v>
      </c>
      <c r="K78" s="616">
        <v>24</v>
      </c>
      <c r="L78" s="617"/>
      <c r="M78" s="617"/>
      <c r="N78" s="617"/>
      <c r="O78" s="617"/>
      <c r="P78" s="617"/>
      <c r="Q78" s="617"/>
      <c r="R78" s="617"/>
      <c r="S78" s="617"/>
      <c r="T78" s="617"/>
      <c r="U78" s="617"/>
      <c r="V78" s="617"/>
      <c r="W78" s="617"/>
      <c r="X78" s="617"/>
      <c r="Y78" s="617"/>
      <c r="Z78" s="617"/>
      <c r="AA78" s="617"/>
      <c r="AB78" s="617"/>
      <c r="AC78" s="617"/>
      <c r="AD78" s="617"/>
      <c r="AE78" s="617"/>
      <c r="AF78" s="617"/>
      <c r="AG78" s="617"/>
      <c r="AH78" s="617"/>
      <c r="AI78" s="617"/>
      <c r="AJ78" s="617"/>
      <c r="AK78" s="617"/>
      <c r="AL78" s="617">
        <v>1440</v>
      </c>
      <c r="AM78" s="617">
        <v>1440</v>
      </c>
      <c r="AN78" s="617">
        <v>1440</v>
      </c>
      <c r="AO78" s="617">
        <v>1440</v>
      </c>
      <c r="AP78" s="617">
        <v>1440</v>
      </c>
      <c r="AQ78" s="617">
        <v>1440</v>
      </c>
      <c r="AR78" s="613" t="s">
        <v>1600</v>
      </c>
      <c r="AS78" s="613" t="s">
        <v>2514</v>
      </c>
      <c r="AT78" s="613" t="s">
        <v>2514</v>
      </c>
      <c r="AU78" s="613" t="s">
        <v>3493</v>
      </c>
      <c r="AV78" s="613" t="s">
        <v>1227</v>
      </c>
      <c r="AW78" s="613" t="s">
        <v>1600</v>
      </c>
      <c r="AX78" s="613" t="s">
        <v>3513</v>
      </c>
      <c r="AY78" s="619">
        <v>46248</v>
      </c>
      <c r="AZ78" s="620">
        <v>46252</v>
      </c>
      <c r="BA78" s="620"/>
      <c r="BB78" s="620">
        <v>46262</v>
      </c>
      <c r="BC78" s="622" t="s">
        <v>3520</v>
      </c>
      <c r="BD78" s="663" t="s">
        <v>3305</v>
      </c>
      <c r="BF78" s="521">
        <f t="shared" si="11"/>
        <v>0</v>
      </c>
    </row>
    <row r="79" s="521" customFormat="1" ht="35.25" hidden="1" customHeight="1" spans="1:58">
      <c r="A79" s="612">
        <f t="shared" si="9"/>
        <v>75</v>
      </c>
      <c r="B79" s="48" t="s">
        <v>209</v>
      </c>
      <c r="C79" s="49" t="s">
        <v>2947</v>
      </c>
      <c r="D79" s="51" t="s">
        <v>3521</v>
      </c>
      <c r="E79" s="51" t="s">
        <v>3522</v>
      </c>
      <c r="F79" s="56">
        <v>46154</v>
      </c>
      <c r="G79" s="56">
        <v>46248</v>
      </c>
      <c r="H79" s="56">
        <v>46248</v>
      </c>
      <c r="I79" s="614">
        <v>46198</v>
      </c>
      <c r="J79" s="615">
        <f t="shared" si="12"/>
        <v>0</v>
      </c>
      <c r="K79" s="616">
        <v>24</v>
      </c>
      <c r="L79" s="617"/>
      <c r="M79" s="617"/>
      <c r="N79" s="617"/>
      <c r="O79" s="617"/>
      <c r="P79" s="617"/>
      <c r="Q79" s="617"/>
      <c r="R79" s="617"/>
      <c r="S79" s="617"/>
      <c r="T79" s="617"/>
      <c r="U79" s="617"/>
      <c r="V79" s="617"/>
      <c r="W79" s="617"/>
      <c r="X79" s="617"/>
      <c r="Y79" s="617"/>
      <c r="Z79" s="617"/>
      <c r="AA79" s="617"/>
      <c r="AB79" s="617"/>
      <c r="AC79" s="617"/>
      <c r="AD79" s="617"/>
      <c r="AE79" s="617"/>
      <c r="AF79" s="617"/>
      <c r="AG79" s="617"/>
      <c r="AH79" s="617"/>
      <c r="AI79" s="617"/>
      <c r="AJ79" s="617"/>
      <c r="AK79" s="617"/>
      <c r="AL79" s="617">
        <v>2880</v>
      </c>
      <c r="AM79" s="617">
        <v>2880</v>
      </c>
      <c r="AN79" s="617">
        <v>2880</v>
      </c>
      <c r="AO79" s="617">
        <v>2880</v>
      </c>
      <c r="AP79" s="617">
        <v>2880</v>
      </c>
      <c r="AQ79" s="617">
        <v>2880</v>
      </c>
      <c r="AR79" s="613" t="s">
        <v>1600</v>
      </c>
      <c r="AS79" s="613" t="s">
        <v>2514</v>
      </c>
      <c r="AT79" s="613" t="s">
        <v>2514</v>
      </c>
      <c r="AU79" s="613" t="s">
        <v>3493</v>
      </c>
      <c r="AV79" s="613" t="s">
        <v>1227</v>
      </c>
      <c r="AW79" s="613" t="s">
        <v>1600</v>
      </c>
      <c r="AX79" s="613" t="s">
        <v>3513</v>
      </c>
      <c r="AY79" s="619">
        <v>46248</v>
      </c>
      <c r="AZ79" s="620">
        <v>46252</v>
      </c>
      <c r="BA79" s="620"/>
      <c r="BB79" s="620">
        <v>46260</v>
      </c>
      <c r="BC79" s="622" t="s">
        <v>3523</v>
      </c>
      <c r="BD79" s="663" t="s">
        <v>3305</v>
      </c>
      <c r="BF79" s="521">
        <f t="shared" si="11"/>
        <v>0</v>
      </c>
    </row>
    <row r="80" s="521" customFormat="1" ht="35.25" hidden="1" customHeight="1" spans="1:58">
      <c r="A80" s="612">
        <f t="shared" si="9"/>
        <v>76</v>
      </c>
      <c r="B80" s="48" t="s">
        <v>209</v>
      </c>
      <c r="C80" s="49" t="s">
        <v>2947</v>
      </c>
      <c r="D80" s="51" t="s">
        <v>3524</v>
      </c>
      <c r="E80" s="51" t="s">
        <v>3525</v>
      </c>
      <c r="F80" s="56">
        <v>46154</v>
      </c>
      <c r="G80" s="56">
        <v>46248</v>
      </c>
      <c r="H80" s="56">
        <v>46248</v>
      </c>
      <c r="I80" s="614">
        <v>46198</v>
      </c>
      <c r="J80" s="615">
        <f t="shared" si="12"/>
        <v>0</v>
      </c>
      <c r="K80" s="616">
        <v>24</v>
      </c>
      <c r="L80" s="617"/>
      <c r="M80" s="617"/>
      <c r="N80" s="617"/>
      <c r="O80" s="617"/>
      <c r="P80" s="617"/>
      <c r="Q80" s="617"/>
      <c r="R80" s="617"/>
      <c r="S80" s="617"/>
      <c r="T80" s="617"/>
      <c r="U80" s="617"/>
      <c r="V80" s="617"/>
      <c r="W80" s="617"/>
      <c r="X80" s="617"/>
      <c r="Y80" s="617"/>
      <c r="Z80" s="617"/>
      <c r="AA80" s="617"/>
      <c r="AB80" s="617"/>
      <c r="AC80" s="617"/>
      <c r="AD80" s="617"/>
      <c r="AE80" s="617"/>
      <c r="AF80" s="617"/>
      <c r="AG80" s="617"/>
      <c r="AH80" s="617"/>
      <c r="AI80" s="617"/>
      <c r="AJ80" s="617"/>
      <c r="AK80" s="617"/>
      <c r="AL80" s="617">
        <v>1440</v>
      </c>
      <c r="AM80" s="617">
        <v>1440</v>
      </c>
      <c r="AN80" s="617">
        <v>1440</v>
      </c>
      <c r="AO80" s="617">
        <v>1440</v>
      </c>
      <c r="AP80" s="617">
        <v>1440</v>
      </c>
      <c r="AQ80" s="617">
        <v>1440</v>
      </c>
      <c r="AR80" s="613" t="s">
        <v>1600</v>
      </c>
      <c r="AS80" s="613" t="s">
        <v>2514</v>
      </c>
      <c r="AT80" s="613" t="s">
        <v>2514</v>
      </c>
      <c r="AU80" s="613" t="s">
        <v>3493</v>
      </c>
      <c r="AV80" s="613" t="s">
        <v>1227</v>
      </c>
      <c r="AW80" s="613" t="s">
        <v>1600</v>
      </c>
      <c r="AX80" s="613" t="s">
        <v>3513</v>
      </c>
      <c r="AY80" s="619">
        <v>46248</v>
      </c>
      <c r="AZ80" s="623">
        <v>46252</v>
      </c>
      <c r="BA80" s="620"/>
      <c r="BB80" s="620">
        <v>46254</v>
      </c>
      <c r="BC80" s="622" t="s">
        <v>3526</v>
      </c>
      <c r="BD80" s="663" t="s">
        <v>3305</v>
      </c>
      <c r="BF80" s="521">
        <f t="shared" si="11"/>
        <v>0</v>
      </c>
    </row>
    <row r="81" s="521" customFormat="1" ht="29.1" hidden="1" customHeight="1" spans="1:58">
      <c r="A81" s="612">
        <f t="shared" si="9"/>
        <v>77</v>
      </c>
      <c r="B81" s="48" t="s">
        <v>209</v>
      </c>
      <c r="C81" s="49" t="s">
        <v>2947</v>
      </c>
      <c r="D81" s="51" t="s">
        <v>3527</v>
      </c>
      <c r="E81" s="51" t="s">
        <v>3528</v>
      </c>
      <c r="F81" s="56">
        <v>46154</v>
      </c>
      <c r="G81" s="56">
        <v>46248</v>
      </c>
      <c r="H81" s="56">
        <v>46248</v>
      </c>
      <c r="I81" s="614">
        <v>46198</v>
      </c>
      <c r="J81" s="615">
        <f t="shared" si="12"/>
        <v>0</v>
      </c>
      <c r="K81" s="616">
        <v>24</v>
      </c>
      <c r="L81" s="617"/>
      <c r="M81" s="617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617"/>
      <c r="AB81" s="617"/>
      <c r="AC81" s="617"/>
      <c r="AD81" s="617"/>
      <c r="AE81" s="617"/>
      <c r="AF81" s="617"/>
      <c r="AG81" s="617"/>
      <c r="AH81" s="617"/>
      <c r="AI81" s="617"/>
      <c r="AJ81" s="617"/>
      <c r="AK81" s="617"/>
      <c r="AL81" s="617">
        <v>2160</v>
      </c>
      <c r="AM81" s="617">
        <v>2160</v>
      </c>
      <c r="AN81" s="617">
        <v>2160</v>
      </c>
      <c r="AO81" s="617">
        <v>2160</v>
      </c>
      <c r="AP81" s="617">
        <v>2160</v>
      </c>
      <c r="AQ81" s="617">
        <v>2160</v>
      </c>
      <c r="AR81" s="613" t="s">
        <v>1600</v>
      </c>
      <c r="AS81" s="613" t="s">
        <v>2514</v>
      </c>
      <c r="AT81" s="613" t="s">
        <v>2514</v>
      </c>
      <c r="AU81" s="613" t="s">
        <v>3493</v>
      </c>
      <c r="AV81" s="613" t="s">
        <v>1227</v>
      </c>
      <c r="AW81" s="613" t="s">
        <v>1600</v>
      </c>
      <c r="AX81" s="613" t="s">
        <v>3513</v>
      </c>
      <c r="AY81" s="619">
        <v>46248</v>
      </c>
      <c r="AZ81" s="620">
        <v>46252</v>
      </c>
      <c r="BA81" s="620"/>
      <c r="BB81" s="620">
        <v>46262</v>
      </c>
      <c r="BC81" s="622" t="s">
        <v>3529</v>
      </c>
      <c r="BD81" s="663" t="s">
        <v>3305</v>
      </c>
      <c r="BF81" s="521">
        <f t="shared" si="11"/>
        <v>0</v>
      </c>
    </row>
    <row r="82" s="521" customFormat="1" ht="29.1" hidden="1" customHeight="1" spans="1:58">
      <c r="A82" s="612">
        <f t="shared" si="9"/>
        <v>78</v>
      </c>
      <c r="B82" s="48" t="s">
        <v>209</v>
      </c>
      <c r="C82" s="49" t="s">
        <v>2947</v>
      </c>
      <c r="D82" s="51" t="s">
        <v>3530</v>
      </c>
      <c r="E82" s="51" t="s">
        <v>3531</v>
      </c>
      <c r="F82" s="56">
        <v>46154</v>
      </c>
      <c r="G82" s="56">
        <v>46248</v>
      </c>
      <c r="H82" s="56">
        <v>46248</v>
      </c>
      <c r="I82" s="614">
        <v>46198</v>
      </c>
      <c r="J82" s="615">
        <f t="shared" si="12"/>
        <v>0</v>
      </c>
      <c r="K82" s="616">
        <v>24</v>
      </c>
      <c r="L82" s="617"/>
      <c r="M82" s="617"/>
      <c r="N82" s="617"/>
      <c r="O82" s="617"/>
      <c r="P82" s="617"/>
      <c r="Q82" s="617"/>
      <c r="R82" s="617"/>
      <c r="S82" s="617"/>
      <c r="T82" s="617"/>
      <c r="U82" s="617"/>
      <c r="V82" s="617"/>
      <c r="W82" s="617"/>
      <c r="X82" s="617"/>
      <c r="Y82" s="617"/>
      <c r="Z82" s="617"/>
      <c r="AA82" s="617"/>
      <c r="AB82" s="617"/>
      <c r="AC82" s="617"/>
      <c r="AD82" s="617"/>
      <c r="AE82" s="617"/>
      <c r="AF82" s="617"/>
      <c r="AG82" s="617"/>
      <c r="AH82" s="617"/>
      <c r="AI82" s="617"/>
      <c r="AJ82" s="617"/>
      <c r="AK82" s="617"/>
      <c r="AL82" s="617">
        <v>2520</v>
      </c>
      <c r="AM82" s="617">
        <v>2520</v>
      </c>
      <c r="AN82" s="617">
        <v>2520</v>
      </c>
      <c r="AO82" s="617">
        <v>2520</v>
      </c>
      <c r="AP82" s="617">
        <v>2520</v>
      </c>
      <c r="AQ82" s="617">
        <v>2520</v>
      </c>
      <c r="AR82" s="613" t="s">
        <v>1600</v>
      </c>
      <c r="AS82" s="613" t="s">
        <v>2514</v>
      </c>
      <c r="AT82" s="613" t="s">
        <v>2514</v>
      </c>
      <c r="AU82" s="613" t="s">
        <v>3493</v>
      </c>
      <c r="AV82" s="613" t="s">
        <v>1227</v>
      </c>
      <c r="AW82" s="613" t="s">
        <v>1600</v>
      </c>
      <c r="AX82" s="613" t="s">
        <v>3513</v>
      </c>
      <c r="AY82" s="619">
        <v>46248</v>
      </c>
      <c r="AZ82" s="623">
        <v>46252</v>
      </c>
      <c r="BA82" s="620"/>
      <c r="BB82" s="620">
        <v>46254</v>
      </c>
      <c r="BC82" s="622" t="s">
        <v>3532</v>
      </c>
      <c r="BD82" s="663" t="s">
        <v>3305</v>
      </c>
      <c r="BF82" s="521">
        <f t="shared" si="11"/>
        <v>0</v>
      </c>
    </row>
    <row r="83" s="521" customFormat="1" ht="29.1" hidden="1" customHeight="1" spans="1:58">
      <c r="A83" s="612">
        <f t="shared" si="9"/>
        <v>79</v>
      </c>
      <c r="B83" s="48" t="s">
        <v>209</v>
      </c>
      <c r="C83" s="49" t="s">
        <v>2947</v>
      </c>
      <c r="D83" s="51" t="s">
        <v>3533</v>
      </c>
      <c r="E83" s="51" t="s">
        <v>3534</v>
      </c>
      <c r="F83" s="56">
        <v>46154</v>
      </c>
      <c r="G83" s="56">
        <v>46252</v>
      </c>
      <c r="H83" s="56">
        <v>46252</v>
      </c>
      <c r="I83" s="614">
        <v>46198</v>
      </c>
      <c r="J83" s="615">
        <f t="shared" si="12"/>
        <v>0</v>
      </c>
      <c r="K83" s="616">
        <v>24</v>
      </c>
      <c r="L83" s="617"/>
      <c r="M83" s="617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17"/>
      <c r="AB83" s="617"/>
      <c r="AC83" s="617"/>
      <c r="AD83" s="617"/>
      <c r="AE83" s="617"/>
      <c r="AF83" s="617"/>
      <c r="AG83" s="617"/>
      <c r="AH83" s="617"/>
      <c r="AI83" s="617"/>
      <c r="AJ83" s="617"/>
      <c r="AK83" s="617"/>
      <c r="AL83" s="617">
        <v>2160</v>
      </c>
      <c r="AM83" s="617">
        <v>2160</v>
      </c>
      <c r="AN83" s="617">
        <v>2160</v>
      </c>
      <c r="AO83" s="617">
        <v>2160</v>
      </c>
      <c r="AP83" s="617">
        <v>2160</v>
      </c>
      <c r="AQ83" s="617">
        <v>2160</v>
      </c>
      <c r="AR83" s="613" t="s">
        <v>1600</v>
      </c>
      <c r="AS83" s="613" t="s">
        <v>2514</v>
      </c>
      <c r="AT83" s="613" t="s">
        <v>2514</v>
      </c>
      <c r="AU83" s="613" t="s">
        <v>3493</v>
      </c>
      <c r="AV83" s="613" t="s">
        <v>1227</v>
      </c>
      <c r="AW83" s="613" t="s">
        <v>1600</v>
      </c>
      <c r="AX83" s="613" t="s">
        <v>3513</v>
      </c>
      <c r="AY83" s="619">
        <v>46249</v>
      </c>
      <c r="AZ83" s="623">
        <v>46252</v>
      </c>
      <c r="BA83" s="620"/>
      <c r="BB83" s="620">
        <v>46254</v>
      </c>
      <c r="BC83" s="622" t="s">
        <v>3535</v>
      </c>
      <c r="BD83" s="663" t="s">
        <v>3305</v>
      </c>
      <c r="BF83" s="521">
        <f t="shared" si="11"/>
        <v>0</v>
      </c>
    </row>
    <row r="84" s="521" customFormat="1" ht="29.1" hidden="1" customHeight="1" spans="1:58">
      <c r="A84" s="612">
        <f t="shared" si="9"/>
        <v>80</v>
      </c>
      <c r="B84" s="48" t="s">
        <v>209</v>
      </c>
      <c r="C84" s="49" t="s">
        <v>2947</v>
      </c>
      <c r="D84" s="51" t="s">
        <v>3536</v>
      </c>
      <c r="E84" s="51" t="s">
        <v>3537</v>
      </c>
      <c r="F84" s="56">
        <v>46154</v>
      </c>
      <c r="G84" s="56">
        <v>46262</v>
      </c>
      <c r="H84" s="56">
        <v>46262</v>
      </c>
      <c r="I84" s="614">
        <v>46198</v>
      </c>
      <c r="J84" s="615">
        <f t="shared" si="12"/>
        <v>0</v>
      </c>
      <c r="K84" s="616">
        <v>24</v>
      </c>
      <c r="L84" s="617"/>
      <c r="M84" s="617"/>
      <c r="N84" s="617"/>
      <c r="O84" s="617"/>
      <c r="P84" s="617"/>
      <c r="Q84" s="617"/>
      <c r="R84" s="617"/>
      <c r="S84" s="617"/>
      <c r="T84" s="617"/>
      <c r="U84" s="617"/>
      <c r="V84" s="617"/>
      <c r="W84" s="617"/>
      <c r="X84" s="617"/>
      <c r="Y84" s="617"/>
      <c r="Z84" s="617"/>
      <c r="AA84" s="617"/>
      <c r="AB84" s="617"/>
      <c r="AC84" s="617"/>
      <c r="AD84" s="617"/>
      <c r="AE84" s="617"/>
      <c r="AF84" s="617"/>
      <c r="AG84" s="617"/>
      <c r="AH84" s="617"/>
      <c r="AI84" s="617"/>
      <c r="AJ84" s="617"/>
      <c r="AK84" s="617"/>
      <c r="AL84" s="617">
        <v>360</v>
      </c>
      <c r="AM84" s="617">
        <v>360</v>
      </c>
      <c r="AN84" s="617">
        <v>360</v>
      </c>
      <c r="AO84" s="617">
        <v>360</v>
      </c>
      <c r="AP84" s="617">
        <v>360</v>
      </c>
      <c r="AQ84" s="617">
        <v>360</v>
      </c>
      <c r="AR84" s="613" t="s">
        <v>373</v>
      </c>
      <c r="AS84" s="613" t="s">
        <v>2514</v>
      </c>
      <c r="AT84" s="613" t="s">
        <v>2514</v>
      </c>
      <c r="AU84" s="613" t="s">
        <v>3493</v>
      </c>
      <c r="AV84" s="613" t="s">
        <v>1227</v>
      </c>
      <c r="AW84" s="613" t="s">
        <v>373</v>
      </c>
      <c r="AX84" s="613" t="s">
        <v>3513</v>
      </c>
      <c r="AY84" s="619">
        <v>46252</v>
      </c>
      <c r="AZ84" s="620">
        <v>46252</v>
      </c>
      <c r="BA84" s="620"/>
      <c r="BB84" s="620">
        <v>46262</v>
      </c>
      <c r="BC84" s="622" t="s">
        <v>3538</v>
      </c>
      <c r="BD84" s="663" t="s">
        <v>3305</v>
      </c>
      <c r="BF84" s="521">
        <f t="shared" si="11"/>
        <v>0</v>
      </c>
    </row>
    <row r="85" s="521" customFormat="1" ht="29.1" hidden="1" customHeight="1" spans="1:58">
      <c r="A85" s="612">
        <f t="shared" si="9"/>
        <v>81</v>
      </c>
      <c r="B85" s="48" t="s">
        <v>209</v>
      </c>
      <c r="C85" s="49" t="s">
        <v>2947</v>
      </c>
      <c r="D85" s="51" t="s">
        <v>3539</v>
      </c>
      <c r="E85" s="51" t="s">
        <v>3540</v>
      </c>
      <c r="F85" s="56">
        <v>46154</v>
      </c>
      <c r="G85" s="56">
        <v>46255</v>
      </c>
      <c r="H85" s="56">
        <v>46255</v>
      </c>
      <c r="I85" s="614">
        <v>46198</v>
      </c>
      <c r="J85" s="615">
        <f t="shared" si="12"/>
        <v>0</v>
      </c>
      <c r="K85" s="616">
        <v>24</v>
      </c>
      <c r="L85" s="617"/>
      <c r="M85" s="617"/>
      <c r="N85" s="617"/>
      <c r="O85" s="617"/>
      <c r="P85" s="617"/>
      <c r="Q85" s="617"/>
      <c r="R85" s="617"/>
      <c r="S85" s="617"/>
      <c r="T85" s="617"/>
      <c r="U85" s="617"/>
      <c r="V85" s="617"/>
      <c r="W85" s="617"/>
      <c r="X85" s="617"/>
      <c r="Y85" s="617"/>
      <c r="Z85" s="617"/>
      <c r="AA85" s="617"/>
      <c r="AB85" s="617"/>
      <c r="AC85" s="617"/>
      <c r="AD85" s="617"/>
      <c r="AE85" s="617"/>
      <c r="AF85" s="617"/>
      <c r="AG85" s="617"/>
      <c r="AH85" s="617"/>
      <c r="AI85" s="617"/>
      <c r="AJ85" s="617"/>
      <c r="AK85" s="617"/>
      <c r="AL85" s="617">
        <v>2160</v>
      </c>
      <c r="AM85" s="617">
        <v>2160</v>
      </c>
      <c r="AN85" s="617">
        <v>2160</v>
      </c>
      <c r="AO85" s="617">
        <v>2160</v>
      </c>
      <c r="AP85" s="617">
        <v>2160</v>
      </c>
      <c r="AQ85" s="617">
        <v>2160</v>
      </c>
      <c r="AR85" s="613" t="s">
        <v>373</v>
      </c>
      <c r="AS85" s="613" t="s">
        <v>2514</v>
      </c>
      <c r="AT85" s="613" t="s">
        <v>2514</v>
      </c>
      <c r="AU85" s="613" t="s">
        <v>3493</v>
      </c>
      <c r="AV85" s="613" t="s">
        <v>1227</v>
      </c>
      <c r="AW85" s="613" t="s">
        <v>373</v>
      </c>
      <c r="AX85" s="613" t="s">
        <v>3312</v>
      </c>
      <c r="AY85" s="619">
        <v>46255</v>
      </c>
      <c r="AZ85" s="620">
        <v>46259</v>
      </c>
      <c r="BA85" s="620"/>
      <c r="BB85" s="620">
        <v>46272</v>
      </c>
      <c r="BC85" s="622" t="s">
        <v>3541</v>
      </c>
      <c r="BD85" s="663" t="s">
        <v>3339</v>
      </c>
      <c r="BF85" s="521">
        <f t="shared" si="11"/>
        <v>0</v>
      </c>
    </row>
    <row r="86" s="521" customFormat="1" ht="29.1" hidden="1" customHeight="1" spans="1:58">
      <c r="A86" s="612">
        <f t="shared" si="9"/>
        <v>82</v>
      </c>
      <c r="B86" s="48" t="s">
        <v>209</v>
      </c>
      <c r="C86" s="49" t="s">
        <v>2947</v>
      </c>
      <c r="D86" s="51" t="s">
        <v>3542</v>
      </c>
      <c r="E86" s="51" t="s">
        <v>3543</v>
      </c>
      <c r="F86" s="56">
        <v>46154</v>
      </c>
      <c r="G86" s="56">
        <v>46255</v>
      </c>
      <c r="H86" s="56">
        <v>46255</v>
      </c>
      <c r="I86" s="614">
        <v>46198</v>
      </c>
      <c r="J86" s="615">
        <f t="shared" si="12"/>
        <v>0</v>
      </c>
      <c r="K86" s="616">
        <v>24</v>
      </c>
      <c r="L86" s="617"/>
      <c r="M86" s="617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  <c r="Y86" s="617"/>
      <c r="Z86" s="617"/>
      <c r="AA86" s="617"/>
      <c r="AB86" s="617"/>
      <c r="AC86" s="617"/>
      <c r="AD86" s="617"/>
      <c r="AE86" s="617"/>
      <c r="AF86" s="617"/>
      <c r="AG86" s="617"/>
      <c r="AH86" s="617"/>
      <c r="AI86" s="617"/>
      <c r="AJ86" s="617"/>
      <c r="AK86" s="617"/>
      <c r="AL86" s="617">
        <v>1440</v>
      </c>
      <c r="AM86" s="617">
        <v>1440</v>
      </c>
      <c r="AN86" s="617">
        <v>1440</v>
      </c>
      <c r="AO86" s="617">
        <v>1440</v>
      </c>
      <c r="AP86" s="617">
        <v>1440</v>
      </c>
      <c r="AQ86" s="617">
        <v>1440</v>
      </c>
      <c r="AR86" s="613" t="s">
        <v>373</v>
      </c>
      <c r="AS86" s="613" t="s">
        <v>2514</v>
      </c>
      <c r="AT86" s="613" t="s">
        <v>2514</v>
      </c>
      <c r="AU86" s="613" t="s">
        <v>3493</v>
      </c>
      <c r="AV86" s="613" t="s">
        <v>1227</v>
      </c>
      <c r="AW86" s="613" t="s">
        <v>373</v>
      </c>
      <c r="AX86" s="613" t="s">
        <v>3513</v>
      </c>
      <c r="AY86" s="619">
        <v>46255</v>
      </c>
      <c r="AZ86" s="620">
        <v>46259</v>
      </c>
      <c r="BA86" s="620"/>
      <c r="BB86" s="620">
        <v>46265</v>
      </c>
      <c r="BC86" s="622" t="s">
        <v>3544</v>
      </c>
      <c r="BD86" s="663" t="s">
        <v>3305</v>
      </c>
      <c r="BF86" s="521">
        <f t="shared" si="11"/>
        <v>0</v>
      </c>
    </row>
    <row r="87" s="521" customFormat="1" ht="29.1" hidden="1" customHeight="1" spans="1:58">
      <c r="A87" s="612">
        <f t="shared" si="9"/>
        <v>83</v>
      </c>
      <c r="B87" s="48" t="s">
        <v>209</v>
      </c>
      <c r="C87" s="49" t="s">
        <v>2947</v>
      </c>
      <c r="D87" s="51" t="s">
        <v>3545</v>
      </c>
      <c r="E87" s="51" t="s">
        <v>3546</v>
      </c>
      <c r="F87" s="56">
        <v>46154</v>
      </c>
      <c r="G87" s="56">
        <v>46255</v>
      </c>
      <c r="H87" s="56">
        <v>46255</v>
      </c>
      <c r="I87" s="614">
        <v>46198</v>
      </c>
      <c r="J87" s="615">
        <f t="shared" si="12"/>
        <v>0</v>
      </c>
      <c r="K87" s="616">
        <v>24</v>
      </c>
      <c r="L87" s="617"/>
      <c r="M87" s="617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  <c r="Y87" s="617"/>
      <c r="Z87" s="617"/>
      <c r="AA87" s="617"/>
      <c r="AB87" s="617"/>
      <c r="AC87" s="617"/>
      <c r="AD87" s="617"/>
      <c r="AE87" s="617"/>
      <c r="AF87" s="617"/>
      <c r="AG87" s="617"/>
      <c r="AH87" s="617"/>
      <c r="AI87" s="617"/>
      <c r="AJ87" s="617"/>
      <c r="AK87" s="617"/>
      <c r="AL87" s="617">
        <v>1440</v>
      </c>
      <c r="AM87" s="617">
        <v>1440</v>
      </c>
      <c r="AN87" s="617">
        <v>1440</v>
      </c>
      <c r="AO87" s="617">
        <v>1440</v>
      </c>
      <c r="AP87" s="617">
        <v>1440</v>
      </c>
      <c r="AQ87" s="617">
        <v>1440</v>
      </c>
      <c r="AR87" s="613" t="s">
        <v>373</v>
      </c>
      <c r="AS87" s="613" t="s">
        <v>2514</v>
      </c>
      <c r="AT87" s="613" t="s">
        <v>2514</v>
      </c>
      <c r="AU87" s="613" t="s">
        <v>3493</v>
      </c>
      <c r="AV87" s="613" t="s">
        <v>1227</v>
      </c>
      <c r="AW87" s="613" t="s">
        <v>373</v>
      </c>
      <c r="AX87" s="613" t="s">
        <v>3513</v>
      </c>
      <c r="AY87" s="619">
        <v>46255</v>
      </c>
      <c r="AZ87" s="620">
        <v>46259</v>
      </c>
      <c r="BA87" s="620"/>
      <c r="BB87" s="620">
        <v>46267</v>
      </c>
      <c r="BC87" s="622" t="s">
        <v>3547</v>
      </c>
      <c r="BD87" s="663" t="s">
        <v>3305</v>
      </c>
      <c r="BF87" s="521">
        <f t="shared" si="11"/>
        <v>0</v>
      </c>
    </row>
    <row r="88" s="521" customFormat="1" ht="29.1" hidden="1" customHeight="1" spans="1:58">
      <c r="A88" s="612">
        <f t="shared" si="9"/>
        <v>84</v>
      </c>
      <c r="B88" s="48" t="s">
        <v>209</v>
      </c>
      <c r="C88" s="49" t="s">
        <v>2947</v>
      </c>
      <c r="D88" s="51" t="s">
        <v>3548</v>
      </c>
      <c r="E88" s="51" t="s">
        <v>3549</v>
      </c>
      <c r="F88" s="56">
        <v>46154</v>
      </c>
      <c r="G88" s="56">
        <v>46255</v>
      </c>
      <c r="H88" s="56">
        <v>46255</v>
      </c>
      <c r="I88" s="614">
        <v>46198</v>
      </c>
      <c r="J88" s="615">
        <f t="shared" si="12"/>
        <v>0</v>
      </c>
      <c r="K88" s="616">
        <v>24</v>
      </c>
      <c r="L88" s="617"/>
      <c r="M88" s="617"/>
      <c r="N88" s="617"/>
      <c r="O88" s="617"/>
      <c r="P88" s="617"/>
      <c r="Q88" s="617"/>
      <c r="R88" s="617"/>
      <c r="S88" s="617"/>
      <c r="T88" s="617"/>
      <c r="U88" s="617"/>
      <c r="V88" s="617"/>
      <c r="W88" s="617"/>
      <c r="X88" s="617"/>
      <c r="Y88" s="617"/>
      <c r="Z88" s="617"/>
      <c r="AA88" s="617"/>
      <c r="AB88" s="617"/>
      <c r="AC88" s="617"/>
      <c r="AD88" s="617"/>
      <c r="AE88" s="617"/>
      <c r="AF88" s="617"/>
      <c r="AG88" s="617"/>
      <c r="AH88" s="617"/>
      <c r="AI88" s="617"/>
      <c r="AJ88" s="617"/>
      <c r="AK88" s="617"/>
      <c r="AL88" s="617">
        <v>2880</v>
      </c>
      <c r="AM88" s="617">
        <v>2880</v>
      </c>
      <c r="AN88" s="617">
        <v>2880</v>
      </c>
      <c r="AO88" s="617">
        <v>2880</v>
      </c>
      <c r="AP88" s="617">
        <v>2880</v>
      </c>
      <c r="AQ88" s="617">
        <v>2880</v>
      </c>
      <c r="AR88" s="613" t="s">
        <v>373</v>
      </c>
      <c r="AS88" s="613" t="s">
        <v>2514</v>
      </c>
      <c r="AT88" s="613" t="s">
        <v>2514</v>
      </c>
      <c r="AU88" s="613" t="s">
        <v>3493</v>
      </c>
      <c r="AV88" s="613" t="s">
        <v>1227</v>
      </c>
      <c r="AW88" s="613" t="s">
        <v>373</v>
      </c>
      <c r="AX88" s="613" t="s">
        <v>3513</v>
      </c>
      <c r="AY88" s="619">
        <v>46255</v>
      </c>
      <c r="AZ88" s="620">
        <v>46259</v>
      </c>
      <c r="BA88" s="620"/>
      <c r="BB88" s="620">
        <v>46267</v>
      </c>
      <c r="BC88" s="622" t="s">
        <v>3550</v>
      </c>
      <c r="BD88" s="663" t="s">
        <v>3305</v>
      </c>
      <c r="BF88" s="521">
        <f t="shared" si="11"/>
        <v>0</v>
      </c>
    </row>
    <row r="89" s="521" customFormat="1" ht="29.1" hidden="1" customHeight="1" spans="1:58">
      <c r="A89" s="612">
        <f t="shared" si="9"/>
        <v>85</v>
      </c>
      <c r="B89" s="48" t="s">
        <v>209</v>
      </c>
      <c r="C89" s="49" t="s">
        <v>2947</v>
      </c>
      <c r="D89" s="51" t="s">
        <v>3551</v>
      </c>
      <c r="E89" s="51" t="s">
        <v>3552</v>
      </c>
      <c r="F89" s="56">
        <v>46154</v>
      </c>
      <c r="G89" s="56">
        <v>46255</v>
      </c>
      <c r="H89" s="56">
        <v>46255</v>
      </c>
      <c r="I89" s="614">
        <v>46198</v>
      </c>
      <c r="J89" s="615">
        <f t="shared" si="12"/>
        <v>0</v>
      </c>
      <c r="K89" s="616">
        <v>24</v>
      </c>
      <c r="L89" s="617"/>
      <c r="M89" s="617"/>
      <c r="N89" s="617"/>
      <c r="O89" s="617"/>
      <c r="P89" s="617"/>
      <c r="Q89" s="617"/>
      <c r="R89" s="617"/>
      <c r="S89" s="617"/>
      <c r="T89" s="617"/>
      <c r="U89" s="617"/>
      <c r="V89" s="617"/>
      <c r="W89" s="617"/>
      <c r="X89" s="617"/>
      <c r="Y89" s="617"/>
      <c r="Z89" s="617"/>
      <c r="AA89" s="617"/>
      <c r="AB89" s="617"/>
      <c r="AC89" s="617"/>
      <c r="AD89" s="617"/>
      <c r="AE89" s="617"/>
      <c r="AF89" s="617"/>
      <c r="AG89" s="617"/>
      <c r="AH89" s="617"/>
      <c r="AI89" s="617"/>
      <c r="AJ89" s="617"/>
      <c r="AK89" s="617"/>
      <c r="AL89" s="617">
        <v>1440</v>
      </c>
      <c r="AM89" s="617">
        <v>1440</v>
      </c>
      <c r="AN89" s="617">
        <v>1440</v>
      </c>
      <c r="AO89" s="617">
        <v>1440</v>
      </c>
      <c r="AP89" s="617">
        <v>1440</v>
      </c>
      <c r="AQ89" s="617">
        <v>1440</v>
      </c>
      <c r="AR89" s="613" t="s">
        <v>373</v>
      </c>
      <c r="AS89" s="613" t="s">
        <v>2514</v>
      </c>
      <c r="AT89" s="613" t="s">
        <v>2514</v>
      </c>
      <c r="AU89" s="613" t="s">
        <v>3493</v>
      </c>
      <c r="AV89" s="613" t="s">
        <v>1227</v>
      </c>
      <c r="AW89" s="613" t="s">
        <v>373</v>
      </c>
      <c r="AX89" s="613" t="s">
        <v>3513</v>
      </c>
      <c r="AY89" s="619">
        <v>46255</v>
      </c>
      <c r="AZ89" s="620">
        <v>46259</v>
      </c>
      <c r="BA89" s="620"/>
      <c r="BB89" s="620">
        <v>46262</v>
      </c>
      <c r="BC89" s="622" t="s">
        <v>3553</v>
      </c>
      <c r="BD89" s="663" t="s">
        <v>3305</v>
      </c>
      <c r="BF89" s="521">
        <f t="shared" si="11"/>
        <v>0</v>
      </c>
    </row>
    <row r="90" s="521" customFormat="1" ht="29.1" hidden="1" customHeight="1" spans="1:58">
      <c r="A90" s="612">
        <f t="shared" si="9"/>
        <v>86</v>
      </c>
      <c r="B90" s="48" t="s">
        <v>209</v>
      </c>
      <c r="C90" s="49" t="s">
        <v>2947</v>
      </c>
      <c r="D90" s="51" t="s">
        <v>3554</v>
      </c>
      <c r="E90" s="51" t="s">
        <v>3555</v>
      </c>
      <c r="F90" s="56">
        <v>46154</v>
      </c>
      <c r="G90" s="56">
        <v>46255</v>
      </c>
      <c r="H90" s="56">
        <v>46255</v>
      </c>
      <c r="I90" s="614">
        <v>46198</v>
      </c>
      <c r="J90" s="615">
        <f t="shared" si="12"/>
        <v>0</v>
      </c>
      <c r="K90" s="616">
        <v>24</v>
      </c>
      <c r="L90" s="617"/>
      <c r="M90" s="617"/>
      <c r="N90" s="617"/>
      <c r="O90" s="617"/>
      <c r="P90" s="617"/>
      <c r="Q90" s="617"/>
      <c r="R90" s="617"/>
      <c r="S90" s="617"/>
      <c r="T90" s="617"/>
      <c r="U90" s="617"/>
      <c r="V90" s="617"/>
      <c r="W90" s="617"/>
      <c r="X90" s="617"/>
      <c r="Y90" s="617"/>
      <c r="Z90" s="617"/>
      <c r="AA90" s="617"/>
      <c r="AB90" s="617"/>
      <c r="AC90" s="617"/>
      <c r="AD90" s="617"/>
      <c r="AE90" s="617"/>
      <c r="AF90" s="617"/>
      <c r="AG90" s="617"/>
      <c r="AH90" s="617"/>
      <c r="AI90" s="617"/>
      <c r="AJ90" s="617"/>
      <c r="AK90" s="617"/>
      <c r="AL90" s="617">
        <v>2160</v>
      </c>
      <c r="AM90" s="617">
        <v>2160</v>
      </c>
      <c r="AN90" s="617">
        <v>2160</v>
      </c>
      <c r="AO90" s="617">
        <v>2160</v>
      </c>
      <c r="AP90" s="617">
        <v>2160</v>
      </c>
      <c r="AQ90" s="617">
        <v>2160</v>
      </c>
      <c r="AR90" s="613" t="s">
        <v>373</v>
      </c>
      <c r="AS90" s="613" t="s">
        <v>2514</v>
      </c>
      <c r="AT90" s="613" t="s">
        <v>2514</v>
      </c>
      <c r="AU90" s="613" t="s">
        <v>3493</v>
      </c>
      <c r="AV90" s="613" t="s">
        <v>1227</v>
      </c>
      <c r="AW90" s="613" t="s">
        <v>373</v>
      </c>
      <c r="AX90" s="613" t="s">
        <v>3513</v>
      </c>
      <c r="AY90" s="619">
        <v>46255</v>
      </c>
      <c r="AZ90" s="620">
        <v>46259</v>
      </c>
      <c r="BA90" s="620"/>
      <c r="BB90" s="620">
        <v>46261</v>
      </c>
      <c r="BC90" s="622" t="s">
        <v>3556</v>
      </c>
      <c r="BD90" s="663" t="s">
        <v>3305</v>
      </c>
      <c r="BF90" s="521">
        <f t="shared" si="11"/>
        <v>0</v>
      </c>
    </row>
    <row r="91" s="521" customFormat="1" ht="29.1" hidden="1" customHeight="1" spans="1:58">
      <c r="A91" s="612">
        <f t="shared" si="9"/>
        <v>87</v>
      </c>
      <c r="B91" s="48" t="s">
        <v>209</v>
      </c>
      <c r="C91" s="49" t="s">
        <v>2947</v>
      </c>
      <c r="D91" s="51" t="s">
        <v>3557</v>
      </c>
      <c r="E91" s="51" t="s">
        <v>3558</v>
      </c>
      <c r="F91" s="56">
        <v>46154</v>
      </c>
      <c r="G91" s="56">
        <v>46255</v>
      </c>
      <c r="H91" s="56">
        <v>46255</v>
      </c>
      <c r="I91" s="614">
        <v>46198</v>
      </c>
      <c r="J91" s="615">
        <f t="shared" si="12"/>
        <v>0</v>
      </c>
      <c r="K91" s="616">
        <v>24</v>
      </c>
      <c r="L91" s="617"/>
      <c r="M91" s="617"/>
      <c r="N91" s="617"/>
      <c r="O91" s="617"/>
      <c r="P91" s="617"/>
      <c r="Q91" s="617"/>
      <c r="R91" s="617"/>
      <c r="S91" s="617"/>
      <c r="T91" s="617"/>
      <c r="U91" s="617"/>
      <c r="V91" s="617"/>
      <c r="W91" s="617"/>
      <c r="X91" s="617"/>
      <c r="Y91" s="617"/>
      <c r="Z91" s="617"/>
      <c r="AA91" s="617"/>
      <c r="AB91" s="617"/>
      <c r="AC91" s="617"/>
      <c r="AD91" s="617"/>
      <c r="AE91" s="617"/>
      <c r="AF91" s="617"/>
      <c r="AG91" s="617"/>
      <c r="AH91" s="617"/>
      <c r="AI91" s="617"/>
      <c r="AJ91" s="617"/>
      <c r="AK91" s="617"/>
      <c r="AL91" s="617">
        <v>2160</v>
      </c>
      <c r="AM91" s="617">
        <v>2160</v>
      </c>
      <c r="AN91" s="617">
        <v>2160</v>
      </c>
      <c r="AO91" s="617">
        <v>2160</v>
      </c>
      <c r="AP91" s="617">
        <v>2160</v>
      </c>
      <c r="AQ91" s="617">
        <v>2160</v>
      </c>
      <c r="AR91" s="613" t="s">
        <v>373</v>
      </c>
      <c r="AS91" s="613" t="s">
        <v>2514</v>
      </c>
      <c r="AT91" s="613" t="s">
        <v>2514</v>
      </c>
      <c r="AU91" s="613" t="s">
        <v>3493</v>
      </c>
      <c r="AV91" s="613" t="s">
        <v>1227</v>
      </c>
      <c r="AW91" s="613" t="s">
        <v>373</v>
      </c>
      <c r="AX91" s="613" t="s">
        <v>3513</v>
      </c>
      <c r="AY91" s="619">
        <v>46255</v>
      </c>
      <c r="AZ91" s="620">
        <v>46259</v>
      </c>
      <c r="BA91" s="620"/>
      <c r="BB91" s="620">
        <v>46262</v>
      </c>
      <c r="BC91" s="622" t="s">
        <v>3559</v>
      </c>
      <c r="BD91" s="663" t="s">
        <v>3305</v>
      </c>
      <c r="BF91" s="521">
        <f t="shared" si="11"/>
        <v>0</v>
      </c>
    </row>
    <row r="92" s="521" customFormat="1" ht="29.1" hidden="1" customHeight="1" spans="1:58">
      <c r="A92" s="612">
        <f t="shared" si="9"/>
        <v>88</v>
      </c>
      <c r="B92" s="48" t="s">
        <v>209</v>
      </c>
      <c r="C92" s="49" t="s">
        <v>2947</v>
      </c>
      <c r="D92" s="51" t="s">
        <v>3560</v>
      </c>
      <c r="E92" s="51" t="s">
        <v>3561</v>
      </c>
      <c r="F92" s="56">
        <v>46154</v>
      </c>
      <c r="G92" s="56">
        <v>46255</v>
      </c>
      <c r="H92" s="56">
        <v>46255</v>
      </c>
      <c r="I92" s="614">
        <v>46198</v>
      </c>
      <c r="J92" s="615">
        <f t="shared" si="12"/>
        <v>0</v>
      </c>
      <c r="K92" s="616">
        <v>24</v>
      </c>
      <c r="L92" s="617"/>
      <c r="M92" s="617"/>
      <c r="N92" s="617"/>
      <c r="O92" s="617"/>
      <c r="P92" s="617"/>
      <c r="Q92" s="617"/>
      <c r="R92" s="617"/>
      <c r="S92" s="617"/>
      <c r="T92" s="617"/>
      <c r="U92" s="617"/>
      <c r="V92" s="617"/>
      <c r="W92" s="617"/>
      <c r="X92" s="617"/>
      <c r="Y92" s="617"/>
      <c r="Z92" s="617"/>
      <c r="AA92" s="617"/>
      <c r="AB92" s="617"/>
      <c r="AC92" s="617"/>
      <c r="AD92" s="617"/>
      <c r="AE92" s="617"/>
      <c r="AF92" s="617"/>
      <c r="AG92" s="617"/>
      <c r="AH92" s="617"/>
      <c r="AI92" s="617"/>
      <c r="AJ92" s="617"/>
      <c r="AK92" s="617"/>
      <c r="AL92" s="617">
        <v>2880</v>
      </c>
      <c r="AM92" s="617">
        <v>2880</v>
      </c>
      <c r="AN92" s="617">
        <v>2880</v>
      </c>
      <c r="AO92" s="617">
        <v>2880</v>
      </c>
      <c r="AP92" s="617">
        <v>2880</v>
      </c>
      <c r="AQ92" s="617">
        <v>2880</v>
      </c>
      <c r="AR92" s="613" t="s">
        <v>373</v>
      </c>
      <c r="AS92" s="613" t="s">
        <v>2514</v>
      </c>
      <c r="AT92" s="613" t="s">
        <v>2514</v>
      </c>
      <c r="AU92" s="613" t="s">
        <v>3493</v>
      </c>
      <c r="AV92" s="613" t="s">
        <v>1227</v>
      </c>
      <c r="AW92" s="613" t="s">
        <v>373</v>
      </c>
      <c r="AX92" s="613" t="s">
        <v>3513</v>
      </c>
      <c r="AY92" s="619">
        <v>46255</v>
      </c>
      <c r="AZ92" s="620">
        <v>46259</v>
      </c>
      <c r="BA92" s="620"/>
      <c r="BB92" s="620">
        <v>46267</v>
      </c>
      <c r="BC92" s="622" t="s">
        <v>3562</v>
      </c>
      <c r="BD92" s="663" t="s">
        <v>3305</v>
      </c>
      <c r="BF92" s="521">
        <f t="shared" si="11"/>
        <v>0</v>
      </c>
    </row>
    <row r="93" s="521" customFormat="1" ht="29.1" hidden="1" customHeight="1" spans="1:58">
      <c r="A93" s="612">
        <f t="shared" si="9"/>
        <v>89</v>
      </c>
      <c r="B93" s="48" t="s">
        <v>209</v>
      </c>
      <c r="C93" s="49" t="s">
        <v>2947</v>
      </c>
      <c r="D93" s="51" t="s">
        <v>3563</v>
      </c>
      <c r="E93" s="51" t="s">
        <v>3564</v>
      </c>
      <c r="F93" s="56">
        <v>46154</v>
      </c>
      <c r="G93" s="56">
        <v>46262</v>
      </c>
      <c r="H93" s="56">
        <v>46262</v>
      </c>
      <c r="I93" s="614">
        <v>46198</v>
      </c>
      <c r="J93" s="615">
        <f t="shared" si="12"/>
        <v>0</v>
      </c>
      <c r="K93" s="616">
        <v>24</v>
      </c>
      <c r="L93" s="570"/>
      <c r="M93" s="570"/>
      <c r="N93" s="570"/>
      <c r="O93" s="570"/>
      <c r="P93" s="570"/>
      <c r="Q93" s="570"/>
      <c r="R93" s="617"/>
      <c r="S93" s="617"/>
      <c r="T93" s="617"/>
      <c r="U93" s="617"/>
      <c r="V93" s="617"/>
      <c r="W93" s="617"/>
      <c r="X93" s="665"/>
      <c r="Y93" s="665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617">
        <v>1800</v>
      </c>
      <c r="AM93" s="617">
        <v>1800</v>
      </c>
      <c r="AN93" s="617">
        <v>1800</v>
      </c>
      <c r="AO93" s="617">
        <v>1800</v>
      </c>
      <c r="AP93" s="617">
        <v>1800</v>
      </c>
      <c r="AQ93" s="617">
        <v>1800</v>
      </c>
      <c r="AR93" s="613" t="s">
        <v>373</v>
      </c>
      <c r="AS93" s="613" t="s">
        <v>2514</v>
      </c>
      <c r="AT93" s="613" t="s">
        <v>2514</v>
      </c>
      <c r="AU93" s="613" t="s">
        <v>3493</v>
      </c>
      <c r="AV93" s="613" t="s">
        <v>1227</v>
      </c>
      <c r="AW93" s="613" t="s">
        <v>373</v>
      </c>
      <c r="AX93" s="613" t="s">
        <v>3513</v>
      </c>
      <c r="AY93" s="619">
        <v>46258</v>
      </c>
      <c r="AZ93" s="623">
        <v>46266</v>
      </c>
      <c r="BA93" s="620"/>
      <c r="BB93" s="620">
        <v>46272</v>
      </c>
      <c r="BC93" s="622" t="s">
        <v>3565</v>
      </c>
      <c r="BD93" s="663" t="s">
        <v>3305</v>
      </c>
      <c r="BF93" s="521">
        <f t="shared" si="11"/>
        <v>0</v>
      </c>
    </row>
    <row r="94" s="521" customFormat="1" ht="29.1" hidden="1" customHeight="1" spans="1:58">
      <c r="A94" s="612">
        <f t="shared" si="9"/>
        <v>90</v>
      </c>
      <c r="B94" s="48" t="s">
        <v>209</v>
      </c>
      <c r="C94" s="49" t="s">
        <v>2947</v>
      </c>
      <c r="D94" s="51" t="s">
        <v>3566</v>
      </c>
      <c r="E94" s="51" t="s">
        <v>3567</v>
      </c>
      <c r="F94" s="56">
        <v>46154</v>
      </c>
      <c r="G94" s="56">
        <v>46262</v>
      </c>
      <c r="H94" s="56">
        <v>46262</v>
      </c>
      <c r="I94" s="614">
        <v>46198</v>
      </c>
      <c r="J94" s="615">
        <f t="shared" si="12"/>
        <v>0</v>
      </c>
      <c r="K94" s="616">
        <v>24</v>
      </c>
      <c r="L94" s="570"/>
      <c r="M94" s="570"/>
      <c r="N94" s="570"/>
      <c r="O94" s="570"/>
      <c r="P94" s="570"/>
      <c r="Q94" s="570"/>
      <c r="R94" s="617"/>
      <c r="S94" s="617"/>
      <c r="T94" s="617"/>
      <c r="U94" s="617"/>
      <c r="V94" s="617"/>
      <c r="W94" s="617"/>
      <c r="X94" s="665"/>
      <c r="Y94" s="665"/>
      <c r="Z94" s="570"/>
      <c r="AA94" s="570"/>
      <c r="AB94" s="570"/>
      <c r="AC94" s="570"/>
      <c r="AD94" s="570"/>
      <c r="AE94" s="570"/>
      <c r="AF94" s="570"/>
      <c r="AG94" s="570"/>
      <c r="AH94" s="570"/>
      <c r="AI94" s="570"/>
      <c r="AJ94" s="570"/>
      <c r="AK94" s="570"/>
      <c r="AL94" s="617">
        <v>1440</v>
      </c>
      <c r="AM94" s="617">
        <v>1440</v>
      </c>
      <c r="AN94" s="617">
        <v>1440</v>
      </c>
      <c r="AO94" s="617">
        <v>1440</v>
      </c>
      <c r="AP94" s="617">
        <v>1440</v>
      </c>
      <c r="AQ94" s="617">
        <v>1440</v>
      </c>
      <c r="AR94" s="613" t="s">
        <v>373</v>
      </c>
      <c r="AS94" s="613" t="s">
        <v>2514</v>
      </c>
      <c r="AT94" s="613" t="s">
        <v>2514</v>
      </c>
      <c r="AU94" s="613" t="s">
        <v>3493</v>
      </c>
      <c r="AV94" s="613" t="s">
        <v>1227</v>
      </c>
      <c r="AW94" s="613" t="s">
        <v>373</v>
      </c>
      <c r="AX94" s="613" t="s">
        <v>3513</v>
      </c>
      <c r="AY94" s="619">
        <v>46258</v>
      </c>
      <c r="AZ94" s="623">
        <v>46266</v>
      </c>
      <c r="BA94" s="620" t="s">
        <v>3568</v>
      </c>
      <c r="BB94" s="620">
        <v>46268</v>
      </c>
      <c r="BC94" s="622" t="s">
        <v>3569</v>
      </c>
      <c r="BD94" s="663" t="s">
        <v>3305</v>
      </c>
      <c r="BF94" s="521">
        <f t="shared" si="11"/>
        <v>0</v>
      </c>
    </row>
    <row r="95" s="521" customFormat="1" ht="29.1" customHeight="1" spans="1:58">
      <c r="A95" s="612">
        <f t="shared" si="9"/>
        <v>91</v>
      </c>
      <c r="B95" s="48" t="s">
        <v>209</v>
      </c>
      <c r="C95" s="49" t="s">
        <v>2947</v>
      </c>
      <c r="D95" s="51" t="s">
        <v>3570</v>
      </c>
      <c r="E95" s="51" t="s">
        <v>3571</v>
      </c>
      <c r="F95" s="56">
        <v>46154</v>
      </c>
      <c r="G95" s="56">
        <v>46242</v>
      </c>
      <c r="H95" s="56">
        <v>46242</v>
      </c>
      <c r="I95" s="614">
        <v>46197</v>
      </c>
      <c r="J95" s="615">
        <f t="shared" si="12"/>
        <v>8640</v>
      </c>
      <c r="K95" s="616">
        <v>24</v>
      </c>
      <c r="L95" s="570"/>
      <c r="M95" s="570"/>
      <c r="N95" s="570"/>
      <c r="O95" s="570"/>
      <c r="P95" s="570"/>
      <c r="Q95" s="570"/>
      <c r="R95" s="617"/>
      <c r="S95" s="617"/>
      <c r="T95" s="617"/>
      <c r="U95" s="617"/>
      <c r="V95" s="617"/>
      <c r="W95" s="617"/>
      <c r="X95" s="665"/>
      <c r="Y95" s="665"/>
      <c r="Z95" s="570"/>
      <c r="AA95" s="570"/>
      <c r="AB95" s="570"/>
      <c r="AC95" s="570"/>
      <c r="AD95" s="570"/>
      <c r="AE95" s="570"/>
      <c r="AF95" s="570"/>
      <c r="AG95" s="570"/>
      <c r="AH95" s="570"/>
      <c r="AI95" s="570"/>
      <c r="AJ95" s="570"/>
      <c r="AK95" s="570"/>
      <c r="AL95" s="617">
        <v>1440</v>
      </c>
      <c r="AM95" s="617">
        <v>1440</v>
      </c>
      <c r="AN95" s="617">
        <v>1440</v>
      </c>
      <c r="AO95" s="617">
        <v>1440</v>
      </c>
      <c r="AP95" s="617">
        <v>1440</v>
      </c>
      <c r="AQ95" s="617">
        <v>1440</v>
      </c>
      <c r="AR95" s="613" t="s">
        <v>1600</v>
      </c>
      <c r="AS95" s="613" t="s">
        <v>2514</v>
      </c>
      <c r="AT95" s="613" t="s">
        <v>2514</v>
      </c>
      <c r="AU95" s="613" t="s">
        <v>3493</v>
      </c>
      <c r="AV95" s="613" t="s">
        <v>1227</v>
      </c>
      <c r="AW95" s="613" t="s">
        <v>1600</v>
      </c>
      <c r="AX95" s="621" t="s">
        <v>3494</v>
      </c>
      <c r="AY95" s="619">
        <v>46259</v>
      </c>
      <c r="AZ95" s="620">
        <v>46274</v>
      </c>
      <c r="BA95" s="620"/>
      <c r="BB95" s="620"/>
      <c r="BC95" s="622" t="s">
        <v>3572</v>
      </c>
      <c r="BD95" s="662" t="s">
        <v>3305</v>
      </c>
      <c r="BF95" s="521">
        <f t="shared" si="11"/>
        <v>4320</v>
      </c>
    </row>
    <row r="96" s="521" customFormat="1" ht="29.1" customHeight="1" spans="1:58">
      <c r="A96" s="612">
        <f t="shared" si="9"/>
        <v>92</v>
      </c>
      <c r="B96" s="48" t="s">
        <v>209</v>
      </c>
      <c r="C96" s="49" t="s">
        <v>2947</v>
      </c>
      <c r="D96" s="51" t="s">
        <v>3573</v>
      </c>
      <c r="E96" s="51" t="s">
        <v>3574</v>
      </c>
      <c r="F96" s="56">
        <v>46154</v>
      </c>
      <c r="G96" s="56">
        <v>46248</v>
      </c>
      <c r="H96" s="56">
        <v>46248</v>
      </c>
      <c r="I96" s="614">
        <v>46197</v>
      </c>
      <c r="J96" s="615">
        <f t="shared" si="12"/>
        <v>2160</v>
      </c>
      <c r="K96" s="616">
        <v>24</v>
      </c>
      <c r="L96" s="570"/>
      <c r="M96" s="570"/>
      <c r="N96" s="570"/>
      <c r="O96" s="570"/>
      <c r="P96" s="570"/>
      <c r="Q96" s="570"/>
      <c r="R96" s="617"/>
      <c r="S96" s="617"/>
      <c r="T96" s="617"/>
      <c r="U96" s="617"/>
      <c r="V96" s="617"/>
      <c r="W96" s="617"/>
      <c r="X96" s="665"/>
      <c r="Y96" s="665"/>
      <c r="Z96" s="570"/>
      <c r="AA96" s="570"/>
      <c r="AB96" s="570"/>
      <c r="AC96" s="570"/>
      <c r="AD96" s="570"/>
      <c r="AE96" s="570"/>
      <c r="AF96" s="570"/>
      <c r="AG96" s="570"/>
      <c r="AH96" s="570"/>
      <c r="AI96" s="570"/>
      <c r="AJ96" s="570"/>
      <c r="AK96" s="570"/>
      <c r="AL96" s="617">
        <v>360</v>
      </c>
      <c r="AM96" s="617">
        <v>360</v>
      </c>
      <c r="AN96" s="617">
        <v>360</v>
      </c>
      <c r="AO96" s="617">
        <v>360</v>
      </c>
      <c r="AP96" s="617">
        <v>360</v>
      </c>
      <c r="AQ96" s="617">
        <v>360</v>
      </c>
      <c r="AR96" s="613" t="s">
        <v>1600</v>
      </c>
      <c r="AS96" s="613" t="s">
        <v>2514</v>
      </c>
      <c r="AT96" s="613" t="s">
        <v>2514</v>
      </c>
      <c r="AU96" s="613" t="s">
        <v>3493</v>
      </c>
      <c r="AV96" s="613" t="s">
        <v>1227</v>
      </c>
      <c r="AW96" s="613" t="s">
        <v>1600</v>
      </c>
      <c r="AX96" s="621" t="s">
        <v>3494</v>
      </c>
      <c r="AY96" s="619">
        <v>46259</v>
      </c>
      <c r="AZ96" s="620">
        <v>46274</v>
      </c>
      <c r="BA96" s="620"/>
      <c r="BB96" s="620"/>
      <c r="BC96" s="622" t="s">
        <v>3575</v>
      </c>
      <c r="BD96" s="662" t="s">
        <v>3305</v>
      </c>
      <c r="BF96" s="521">
        <f t="shared" si="11"/>
        <v>1080</v>
      </c>
    </row>
    <row r="97" s="521" customFormat="1" ht="29.1" customHeight="1" spans="1:58">
      <c r="A97" s="612">
        <f t="shared" si="9"/>
        <v>93</v>
      </c>
      <c r="B97" s="48" t="s">
        <v>209</v>
      </c>
      <c r="C97" s="49" t="s">
        <v>2947</v>
      </c>
      <c r="D97" s="51" t="s">
        <v>3576</v>
      </c>
      <c r="E97" s="51" t="s">
        <v>3577</v>
      </c>
      <c r="F97" s="56">
        <v>46154</v>
      </c>
      <c r="G97" s="56">
        <v>46248</v>
      </c>
      <c r="H97" s="56">
        <v>46248</v>
      </c>
      <c r="I97" s="614">
        <v>46197</v>
      </c>
      <c r="J97" s="615">
        <f t="shared" si="12"/>
        <v>8640</v>
      </c>
      <c r="K97" s="616">
        <v>24</v>
      </c>
      <c r="L97" s="570"/>
      <c r="M97" s="570"/>
      <c r="N97" s="570"/>
      <c r="O97" s="570"/>
      <c r="P97" s="570"/>
      <c r="Q97" s="570"/>
      <c r="R97" s="617"/>
      <c r="S97" s="617"/>
      <c r="T97" s="617"/>
      <c r="U97" s="617"/>
      <c r="V97" s="617"/>
      <c r="W97" s="617"/>
      <c r="X97" s="665"/>
      <c r="Y97" s="665"/>
      <c r="Z97" s="570"/>
      <c r="AA97" s="570"/>
      <c r="AB97" s="570"/>
      <c r="AC97" s="570"/>
      <c r="AD97" s="570"/>
      <c r="AE97" s="570"/>
      <c r="AF97" s="570"/>
      <c r="AG97" s="570"/>
      <c r="AH97" s="570"/>
      <c r="AI97" s="570"/>
      <c r="AJ97" s="570"/>
      <c r="AK97" s="570"/>
      <c r="AL97" s="617">
        <v>1440</v>
      </c>
      <c r="AM97" s="617">
        <v>1440</v>
      </c>
      <c r="AN97" s="617">
        <v>1440</v>
      </c>
      <c r="AO97" s="617">
        <v>1440</v>
      </c>
      <c r="AP97" s="617">
        <v>1440</v>
      </c>
      <c r="AQ97" s="617">
        <v>1440</v>
      </c>
      <c r="AR97" s="613" t="s">
        <v>1600</v>
      </c>
      <c r="AS97" s="613" t="s">
        <v>2514</v>
      </c>
      <c r="AT97" s="613" t="s">
        <v>2514</v>
      </c>
      <c r="AU97" s="613" t="s">
        <v>3493</v>
      </c>
      <c r="AV97" s="613" t="s">
        <v>1227</v>
      </c>
      <c r="AW97" s="613" t="s">
        <v>1600</v>
      </c>
      <c r="AX97" s="621" t="s">
        <v>3494</v>
      </c>
      <c r="AY97" s="619">
        <v>46259</v>
      </c>
      <c r="AZ97" s="620">
        <v>46274</v>
      </c>
      <c r="BA97" s="620"/>
      <c r="BB97" s="620"/>
      <c r="BC97" s="622" t="s">
        <v>3578</v>
      </c>
      <c r="BD97" s="662" t="s">
        <v>3305</v>
      </c>
      <c r="BF97" s="521">
        <f t="shared" si="11"/>
        <v>4320</v>
      </c>
    </row>
    <row r="98" s="521" customFormat="1" ht="29.1" customHeight="1" spans="1:58">
      <c r="A98" s="612">
        <f t="shared" si="9"/>
        <v>94</v>
      </c>
      <c r="B98" s="48" t="s">
        <v>209</v>
      </c>
      <c r="C98" s="49" t="s">
        <v>2947</v>
      </c>
      <c r="D98" s="51" t="s">
        <v>3579</v>
      </c>
      <c r="E98" s="51" t="s">
        <v>3580</v>
      </c>
      <c r="F98" s="56">
        <v>46154</v>
      </c>
      <c r="G98" s="56">
        <v>46242</v>
      </c>
      <c r="H98" s="56">
        <v>46242</v>
      </c>
      <c r="I98" s="614">
        <v>46197</v>
      </c>
      <c r="J98" s="615">
        <f t="shared" si="12"/>
        <v>8640</v>
      </c>
      <c r="K98" s="616">
        <v>24</v>
      </c>
      <c r="L98" s="570"/>
      <c r="M98" s="570"/>
      <c r="N98" s="570"/>
      <c r="O98" s="570"/>
      <c r="P98" s="570"/>
      <c r="Q98" s="570"/>
      <c r="R98" s="617"/>
      <c r="S98" s="617"/>
      <c r="T98" s="617"/>
      <c r="U98" s="617"/>
      <c r="V98" s="617"/>
      <c r="W98" s="617"/>
      <c r="X98" s="665"/>
      <c r="Y98" s="665"/>
      <c r="Z98" s="570"/>
      <c r="AA98" s="570"/>
      <c r="AB98" s="570"/>
      <c r="AC98" s="570"/>
      <c r="AD98" s="570"/>
      <c r="AE98" s="570"/>
      <c r="AF98" s="570"/>
      <c r="AG98" s="570"/>
      <c r="AH98" s="570"/>
      <c r="AI98" s="570"/>
      <c r="AJ98" s="570"/>
      <c r="AK98" s="570"/>
      <c r="AL98" s="617">
        <v>1440</v>
      </c>
      <c r="AM98" s="617">
        <v>1440</v>
      </c>
      <c r="AN98" s="617">
        <v>1440</v>
      </c>
      <c r="AO98" s="617">
        <v>1440</v>
      </c>
      <c r="AP98" s="617">
        <v>1440</v>
      </c>
      <c r="AQ98" s="617">
        <v>1440</v>
      </c>
      <c r="AR98" s="613" t="s">
        <v>1600</v>
      </c>
      <c r="AS98" s="613" t="s">
        <v>2514</v>
      </c>
      <c r="AT98" s="613" t="s">
        <v>2514</v>
      </c>
      <c r="AU98" s="613" t="s">
        <v>3493</v>
      </c>
      <c r="AV98" s="613" t="s">
        <v>1227</v>
      </c>
      <c r="AW98" s="613" t="s">
        <v>1600</v>
      </c>
      <c r="AX98" s="621" t="s">
        <v>3494</v>
      </c>
      <c r="AY98" s="619">
        <v>46261</v>
      </c>
      <c r="AZ98" s="620">
        <v>46274</v>
      </c>
      <c r="BA98" s="620"/>
      <c r="BB98" s="620"/>
      <c r="BC98" s="622" t="s">
        <v>3581</v>
      </c>
      <c r="BD98" s="662" t="s">
        <v>3305</v>
      </c>
      <c r="BF98" s="521">
        <f t="shared" si="11"/>
        <v>4320</v>
      </c>
    </row>
    <row r="99" s="521" customFormat="1" ht="29.1" customHeight="1" spans="1:58">
      <c r="A99" s="612">
        <f t="shared" si="9"/>
        <v>95</v>
      </c>
      <c r="B99" s="48" t="s">
        <v>209</v>
      </c>
      <c r="C99" s="49" t="s">
        <v>2947</v>
      </c>
      <c r="D99" s="51" t="s">
        <v>3582</v>
      </c>
      <c r="E99" s="51" t="s">
        <v>3583</v>
      </c>
      <c r="F99" s="56">
        <v>46154</v>
      </c>
      <c r="G99" s="56">
        <v>46242</v>
      </c>
      <c r="H99" s="56">
        <v>46242</v>
      </c>
      <c r="I99" s="614">
        <v>46197</v>
      </c>
      <c r="J99" s="615">
        <f t="shared" si="12"/>
        <v>8640</v>
      </c>
      <c r="K99" s="616">
        <v>24</v>
      </c>
      <c r="L99" s="570"/>
      <c r="M99" s="570"/>
      <c r="N99" s="570"/>
      <c r="O99" s="570"/>
      <c r="P99" s="570"/>
      <c r="Q99" s="570"/>
      <c r="R99" s="617"/>
      <c r="S99" s="617"/>
      <c r="T99" s="617"/>
      <c r="U99" s="617"/>
      <c r="V99" s="617"/>
      <c r="W99" s="617"/>
      <c r="X99" s="665"/>
      <c r="Y99" s="665"/>
      <c r="Z99" s="570"/>
      <c r="AA99" s="570"/>
      <c r="AB99" s="570"/>
      <c r="AC99" s="570"/>
      <c r="AD99" s="570"/>
      <c r="AE99" s="570"/>
      <c r="AF99" s="570"/>
      <c r="AG99" s="570"/>
      <c r="AH99" s="570"/>
      <c r="AI99" s="570"/>
      <c r="AJ99" s="570"/>
      <c r="AK99" s="570"/>
      <c r="AL99" s="617">
        <v>1440</v>
      </c>
      <c r="AM99" s="617">
        <v>1440</v>
      </c>
      <c r="AN99" s="617">
        <v>1440</v>
      </c>
      <c r="AO99" s="617">
        <v>1440</v>
      </c>
      <c r="AP99" s="617">
        <v>1440</v>
      </c>
      <c r="AQ99" s="617">
        <v>1440</v>
      </c>
      <c r="AR99" s="613" t="s">
        <v>1600</v>
      </c>
      <c r="AS99" s="613" t="s">
        <v>2514</v>
      </c>
      <c r="AT99" s="613" t="s">
        <v>2514</v>
      </c>
      <c r="AU99" s="613" t="s">
        <v>3493</v>
      </c>
      <c r="AV99" s="613" t="s">
        <v>1227</v>
      </c>
      <c r="AW99" s="613" t="s">
        <v>1600</v>
      </c>
      <c r="AX99" s="621" t="s">
        <v>3494</v>
      </c>
      <c r="AY99" s="619">
        <v>46261</v>
      </c>
      <c r="AZ99" s="620">
        <v>46274</v>
      </c>
      <c r="BA99" s="620"/>
      <c r="BB99" s="620"/>
      <c r="BC99" s="622" t="s">
        <v>3584</v>
      </c>
      <c r="BD99" s="662" t="s">
        <v>3305</v>
      </c>
      <c r="BF99" s="521">
        <f t="shared" si="11"/>
        <v>4320</v>
      </c>
    </row>
    <row r="100" s="521" customFormat="1" ht="29.1" customHeight="1" spans="1:58">
      <c r="A100" s="612">
        <f t="shared" si="9"/>
        <v>96</v>
      </c>
      <c r="B100" s="48" t="s">
        <v>209</v>
      </c>
      <c r="C100" s="49" t="s">
        <v>2947</v>
      </c>
      <c r="D100" s="51" t="s">
        <v>3585</v>
      </c>
      <c r="E100" s="51" t="s">
        <v>3586</v>
      </c>
      <c r="F100" s="56">
        <v>46154</v>
      </c>
      <c r="G100" s="56">
        <v>46248</v>
      </c>
      <c r="H100" s="56">
        <v>46248</v>
      </c>
      <c r="I100" s="614">
        <v>46197</v>
      </c>
      <c r="J100" s="615">
        <f t="shared" si="12"/>
        <v>6480</v>
      </c>
      <c r="K100" s="616">
        <v>24</v>
      </c>
      <c r="L100" s="570"/>
      <c r="M100" s="570"/>
      <c r="N100" s="570"/>
      <c r="O100" s="570"/>
      <c r="P100" s="570"/>
      <c r="Q100" s="570"/>
      <c r="R100" s="617"/>
      <c r="S100" s="617"/>
      <c r="T100" s="617"/>
      <c r="U100" s="617"/>
      <c r="V100" s="617"/>
      <c r="W100" s="617"/>
      <c r="X100" s="665"/>
      <c r="Y100" s="665"/>
      <c r="Z100" s="570"/>
      <c r="AA100" s="570"/>
      <c r="AB100" s="570"/>
      <c r="AC100" s="570"/>
      <c r="AD100" s="570"/>
      <c r="AE100" s="570"/>
      <c r="AF100" s="570"/>
      <c r="AG100" s="570"/>
      <c r="AH100" s="570"/>
      <c r="AI100" s="570"/>
      <c r="AJ100" s="570"/>
      <c r="AK100" s="570"/>
      <c r="AL100" s="617">
        <v>1080</v>
      </c>
      <c r="AM100" s="617">
        <v>1080</v>
      </c>
      <c r="AN100" s="617">
        <v>1080</v>
      </c>
      <c r="AO100" s="617">
        <v>1080</v>
      </c>
      <c r="AP100" s="617">
        <v>1080</v>
      </c>
      <c r="AQ100" s="617">
        <v>1080</v>
      </c>
      <c r="AR100" s="613" t="s">
        <v>1600</v>
      </c>
      <c r="AS100" s="613" t="s">
        <v>2514</v>
      </c>
      <c r="AT100" s="613" t="s">
        <v>2514</v>
      </c>
      <c r="AU100" s="613" t="s">
        <v>3493</v>
      </c>
      <c r="AV100" s="613" t="s">
        <v>1227</v>
      </c>
      <c r="AW100" s="613" t="s">
        <v>1600</v>
      </c>
      <c r="AX100" s="621" t="s">
        <v>3494</v>
      </c>
      <c r="AY100" s="619">
        <v>46261</v>
      </c>
      <c r="AZ100" s="620">
        <v>46274</v>
      </c>
      <c r="BA100" s="620"/>
      <c r="BB100" s="620"/>
      <c r="BC100" s="622" t="s">
        <v>3587</v>
      </c>
      <c r="BD100" s="662" t="s">
        <v>3305</v>
      </c>
      <c r="BF100" s="521">
        <f t="shared" si="11"/>
        <v>3240</v>
      </c>
    </row>
    <row r="101" s="521" customFormat="1" ht="29.1" hidden="1" customHeight="1" spans="1:58">
      <c r="A101" s="612">
        <f t="shared" si="9"/>
        <v>97</v>
      </c>
      <c r="B101" s="48" t="s">
        <v>209</v>
      </c>
      <c r="C101" s="49" t="s">
        <v>2947</v>
      </c>
      <c r="D101" s="51" t="s">
        <v>3588</v>
      </c>
      <c r="E101" s="51" t="s">
        <v>3589</v>
      </c>
      <c r="F101" s="56">
        <v>46154</v>
      </c>
      <c r="G101" s="56">
        <v>46262</v>
      </c>
      <c r="H101" s="56">
        <v>46262</v>
      </c>
      <c r="I101" s="614">
        <v>46198</v>
      </c>
      <c r="J101" s="615">
        <f t="shared" si="12"/>
        <v>0</v>
      </c>
      <c r="K101" s="616">
        <v>24</v>
      </c>
      <c r="L101" s="570"/>
      <c r="M101" s="570"/>
      <c r="N101" s="570"/>
      <c r="O101" s="570"/>
      <c r="P101" s="570"/>
      <c r="Q101" s="570"/>
      <c r="R101" s="617"/>
      <c r="S101" s="617"/>
      <c r="T101" s="617"/>
      <c r="U101" s="617"/>
      <c r="V101" s="617"/>
      <c r="W101" s="617"/>
      <c r="X101" s="665"/>
      <c r="Y101" s="665"/>
      <c r="Z101" s="570"/>
      <c r="AA101" s="570"/>
      <c r="AB101" s="570"/>
      <c r="AC101" s="570"/>
      <c r="AD101" s="570"/>
      <c r="AE101" s="570"/>
      <c r="AF101" s="570"/>
      <c r="AG101" s="570"/>
      <c r="AH101" s="570"/>
      <c r="AI101" s="570"/>
      <c r="AJ101" s="570"/>
      <c r="AK101" s="570"/>
      <c r="AL101" s="617">
        <v>1800</v>
      </c>
      <c r="AM101" s="617">
        <v>1800</v>
      </c>
      <c r="AN101" s="617">
        <v>1800</v>
      </c>
      <c r="AO101" s="617">
        <v>1800</v>
      </c>
      <c r="AP101" s="617">
        <v>1800</v>
      </c>
      <c r="AQ101" s="617">
        <v>1800</v>
      </c>
      <c r="AR101" s="613" t="s">
        <v>373</v>
      </c>
      <c r="AS101" s="613" t="s">
        <v>2514</v>
      </c>
      <c r="AT101" s="613" t="s">
        <v>2514</v>
      </c>
      <c r="AU101" s="613" t="s">
        <v>3493</v>
      </c>
      <c r="AV101" s="613" t="s">
        <v>1227</v>
      </c>
      <c r="AW101" s="613" t="s">
        <v>373</v>
      </c>
      <c r="AX101" s="613" t="s">
        <v>3513</v>
      </c>
      <c r="AY101" s="619">
        <v>46261</v>
      </c>
      <c r="AZ101" s="620">
        <v>46268</v>
      </c>
      <c r="BA101" s="620"/>
      <c r="BB101" s="620">
        <v>46272</v>
      </c>
      <c r="BC101" s="622" t="s">
        <v>3590</v>
      </c>
      <c r="BD101" s="663" t="s">
        <v>3305</v>
      </c>
      <c r="BF101" s="521">
        <f t="shared" si="11"/>
        <v>0</v>
      </c>
    </row>
    <row r="102" s="521" customFormat="1" ht="29.1" hidden="1" customHeight="1" spans="1:58">
      <c r="A102" s="612">
        <f t="shared" si="9"/>
        <v>98</v>
      </c>
      <c r="B102" s="48" t="s">
        <v>209</v>
      </c>
      <c r="C102" s="49" t="s">
        <v>2947</v>
      </c>
      <c r="D102" s="51" t="s">
        <v>3591</v>
      </c>
      <c r="E102" s="51" t="s">
        <v>3592</v>
      </c>
      <c r="F102" s="56">
        <v>46154</v>
      </c>
      <c r="G102" s="56">
        <v>46262</v>
      </c>
      <c r="H102" s="56">
        <v>46262</v>
      </c>
      <c r="I102" s="614">
        <v>46198</v>
      </c>
      <c r="J102" s="615">
        <f t="shared" si="12"/>
        <v>0</v>
      </c>
      <c r="K102" s="616">
        <v>24</v>
      </c>
      <c r="L102" s="570"/>
      <c r="M102" s="570"/>
      <c r="N102" s="570"/>
      <c r="O102" s="570"/>
      <c r="P102" s="570"/>
      <c r="Q102" s="570"/>
      <c r="R102" s="617"/>
      <c r="S102" s="617"/>
      <c r="T102" s="617"/>
      <c r="U102" s="617"/>
      <c r="V102" s="617"/>
      <c r="W102" s="617"/>
      <c r="X102" s="665"/>
      <c r="Y102" s="665"/>
      <c r="Z102" s="570"/>
      <c r="AA102" s="570"/>
      <c r="AB102" s="570"/>
      <c r="AC102" s="570"/>
      <c r="AD102" s="570"/>
      <c r="AE102" s="570"/>
      <c r="AF102" s="570"/>
      <c r="AG102" s="570"/>
      <c r="AH102" s="570"/>
      <c r="AI102" s="570"/>
      <c r="AJ102" s="570"/>
      <c r="AK102" s="570"/>
      <c r="AL102" s="617">
        <v>2160</v>
      </c>
      <c r="AM102" s="617">
        <v>2160</v>
      </c>
      <c r="AN102" s="617">
        <v>2160</v>
      </c>
      <c r="AO102" s="617">
        <v>2160</v>
      </c>
      <c r="AP102" s="617">
        <v>2160</v>
      </c>
      <c r="AQ102" s="617">
        <v>2160</v>
      </c>
      <c r="AR102" s="613" t="s">
        <v>373</v>
      </c>
      <c r="AS102" s="613" t="s">
        <v>2514</v>
      </c>
      <c r="AT102" s="613" t="s">
        <v>2514</v>
      </c>
      <c r="AU102" s="613" t="s">
        <v>3493</v>
      </c>
      <c r="AV102" s="613" t="s">
        <v>1227</v>
      </c>
      <c r="AW102" s="613" t="s">
        <v>373</v>
      </c>
      <c r="AX102" s="613" t="s">
        <v>3513</v>
      </c>
      <c r="AY102" s="619">
        <v>46261</v>
      </c>
      <c r="AZ102" s="620">
        <v>46274</v>
      </c>
      <c r="BA102" s="620"/>
      <c r="BB102" s="620">
        <v>46277</v>
      </c>
      <c r="BC102" s="622" t="s">
        <v>3593</v>
      </c>
      <c r="BD102" s="663" t="s">
        <v>3305</v>
      </c>
      <c r="BF102" s="521">
        <f t="shared" si="11"/>
        <v>0</v>
      </c>
    </row>
    <row r="103" s="521" customFormat="1" ht="29.1" hidden="1" customHeight="1" spans="1:58">
      <c r="A103" s="612">
        <f t="shared" si="9"/>
        <v>99</v>
      </c>
      <c r="B103" s="48" t="s">
        <v>209</v>
      </c>
      <c r="C103" s="49" t="s">
        <v>2947</v>
      </c>
      <c r="D103" s="51" t="s">
        <v>3594</v>
      </c>
      <c r="E103" s="51" t="s">
        <v>3595</v>
      </c>
      <c r="F103" s="56">
        <v>46154</v>
      </c>
      <c r="G103" s="56">
        <v>46262</v>
      </c>
      <c r="H103" s="56">
        <v>46262</v>
      </c>
      <c r="I103" s="614">
        <v>46198</v>
      </c>
      <c r="J103" s="615">
        <f t="shared" si="12"/>
        <v>0</v>
      </c>
      <c r="K103" s="616">
        <v>24</v>
      </c>
      <c r="L103" s="570"/>
      <c r="M103" s="570"/>
      <c r="N103" s="570"/>
      <c r="O103" s="570"/>
      <c r="P103" s="570"/>
      <c r="Q103" s="570"/>
      <c r="R103" s="617"/>
      <c r="S103" s="617"/>
      <c r="T103" s="617"/>
      <c r="U103" s="617"/>
      <c r="V103" s="617"/>
      <c r="W103" s="617"/>
      <c r="X103" s="665"/>
      <c r="Y103" s="665"/>
      <c r="Z103" s="570"/>
      <c r="AA103" s="570"/>
      <c r="AB103" s="570"/>
      <c r="AC103" s="570"/>
      <c r="AD103" s="570"/>
      <c r="AE103" s="570"/>
      <c r="AF103" s="570"/>
      <c r="AG103" s="570"/>
      <c r="AH103" s="570"/>
      <c r="AI103" s="570"/>
      <c r="AJ103" s="570"/>
      <c r="AK103" s="570"/>
      <c r="AL103" s="617">
        <v>360</v>
      </c>
      <c r="AM103" s="617">
        <v>360</v>
      </c>
      <c r="AN103" s="617">
        <v>360</v>
      </c>
      <c r="AO103" s="617">
        <v>360</v>
      </c>
      <c r="AP103" s="617">
        <v>360</v>
      </c>
      <c r="AQ103" s="617">
        <v>360</v>
      </c>
      <c r="AR103" s="613" t="s">
        <v>373</v>
      </c>
      <c r="AS103" s="613" t="s">
        <v>2514</v>
      </c>
      <c r="AT103" s="613" t="s">
        <v>2514</v>
      </c>
      <c r="AU103" s="613" t="s">
        <v>3493</v>
      </c>
      <c r="AV103" s="613" t="s">
        <v>1227</v>
      </c>
      <c r="AW103" s="613" t="s">
        <v>373</v>
      </c>
      <c r="AX103" s="613" t="s">
        <v>3513</v>
      </c>
      <c r="AY103" s="619">
        <v>46261</v>
      </c>
      <c r="AZ103" s="620">
        <v>46273</v>
      </c>
      <c r="BA103" s="620"/>
      <c r="BB103" s="620">
        <v>46275</v>
      </c>
      <c r="BC103" s="622" t="s">
        <v>3596</v>
      </c>
      <c r="BD103" s="663" t="s">
        <v>3305</v>
      </c>
      <c r="BF103" s="521">
        <f t="shared" si="11"/>
        <v>0</v>
      </c>
    </row>
    <row r="104" s="521" customFormat="1" ht="29.1" hidden="1" customHeight="1" spans="1:58">
      <c r="A104" s="612">
        <f t="shared" si="9"/>
        <v>100</v>
      </c>
      <c r="B104" s="48" t="s">
        <v>209</v>
      </c>
      <c r="C104" s="49" t="s">
        <v>2947</v>
      </c>
      <c r="D104" s="51" t="s">
        <v>3597</v>
      </c>
      <c r="E104" s="51" t="s">
        <v>3598</v>
      </c>
      <c r="F104" s="56">
        <v>46154</v>
      </c>
      <c r="G104" s="56">
        <v>46262</v>
      </c>
      <c r="H104" s="56">
        <v>46262</v>
      </c>
      <c r="I104" s="614">
        <v>46198</v>
      </c>
      <c r="J104" s="615">
        <f t="shared" si="12"/>
        <v>0</v>
      </c>
      <c r="K104" s="616">
        <v>24</v>
      </c>
      <c r="L104" s="570"/>
      <c r="M104" s="570"/>
      <c r="N104" s="570"/>
      <c r="O104" s="570"/>
      <c r="P104" s="570"/>
      <c r="Q104" s="570"/>
      <c r="R104" s="617"/>
      <c r="S104" s="617"/>
      <c r="T104" s="617"/>
      <c r="U104" s="617"/>
      <c r="V104" s="617"/>
      <c r="W104" s="617"/>
      <c r="X104" s="665"/>
      <c r="Y104" s="665"/>
      <c r="Z104" s="570"/>
      <c r="AA104" s="570"/>
      <c r="AB104" s="570"/>
      <c r="AC104" s="570"/>
      <c r="AD104" s="570"/>
      <c r="AE104" s="570"/>
      <c r="AF104" s="570"/>
      <c r="AG104" s="570"/>
      <c r="AH104" s="570"/>
      <c r="AI104" s="570"/>
      <c r="AJ104" s="570"/>
      <c r="AK104" s="570"/>
      <c r="AL104" s="617">
        <v>360</v>
      </c>
      <c r="AM104" s="617">
        <v>360</v>
      </c>
      <c r="AN104" s="617">
        <v>360</v>
      </c>
      <c r="AO104" s="617">
        <v>360</v>
      </c>
      <c r="AP104" s="617">
        <v>360</v>
      </c>
      <c r="AQ104" s="617">
        <v>360</v>
      </c>
      <c r="AR104" s="613" t="s">
        <v>373</v>
      </c>
      <c r="AS104" s="613" t="s">
        <v>2514</v>
      </c>
      <c r="AT104" s="613" t="s">
        <v>2514</v>
      </c>
      <c r="AU104" s="613" t="s">
        <v>3493</v>
      </c>
      <c r="AV104" s="613" t="s">
        <v>1227</v>
      </c>
      <c r="AW104" s="613" t="s">
        <v>373</v>
      </c>
      <c r="AX104" s="613" t="s">
        <v>3513</v>
      </c>
      <c r="AY104" s="619">
        <v>46261</v>
      </c>
      <c r="AZ104" s="620">
        <v>46266</v>
      </c>
      <c r="BA104" s="620"/>
      <c r="BB104" s="620">
        <v>46268</v>
      </c>
      <c r="BC104" s="622" t="s">
        <v>3599</v>
      </c>
      <c r="BD104" s="663" t="s">
        <v>3305</v>
      </c>
      <c r="BF104" s="521">
        <f t="shared" si="11"/>
        <v>0</v>
      </c>
    </row>
    <row r="105" s="521" customFormat="1" ht="29.1" hidden="1" customHeight="1" spans="1:58">
      <c r="A105" s="612">
        <f t="shared" si="9"/>
        <v>101</v>
      </c>
      <c r="B105" s="48" t="s">
        <v>209</v>
      </c>
      <c r="C105" s="49" t="s">
        <v>2947</v>
      </c>
      <c r="D105" s="51" t="s">
        <v>3600</v>
      </c>
      <c r="E105" s="51" t="s">
        <v>3601</v>
      </c>
      <c r="F105" s="56">
        <v>46171</v>
      </c>
      <c r="G105" s="56">
        <v>46262</v>
      </c>
      <c r="H105" s="56">
        <v>46262</v>
      </c>
      <c r="I105" s="614">
        <v>46190</v>
      </c>
      <c r="J105" s="615">
        <f t="shared" si="12"/>
        <v>0</v>
      </c>
      <c r="K105" s="616">
        <v>24</v>
      </c>
      <c r="L105" s="570"/>
      <c r="M105" s="570"/>
      <c r="N105" s="570"/>
      <c r="O105" s="570"/>
      <c r="P105" s="570"/>
      <c r="Q105" s="570"/>
      <c r="R105" s="617"/>
      <c r="S105" s="617"/>
      <c r="T105" s="617"/>
      <c r="U105" s="617"/>
      <c r="V105" s="617"/>
      <c r="W105" s="617"/>
      <c r="X105" s="665"/>
      <c r="Y105" s="665"/>
      <c r="Z105" s="570"/>
      <c r="AA105" s="570"/>
      <c r="AB105" s="570"/>
      <c r="AC105" s="570"/>
      <c r="AD105" s="570"/>
      <c r="AE105" s="570"/>
      <c r="AF105" s="570"/>
      <c r="AG105" s="570"/>
      <c r="AH105" s="570"/>
      <c r="AI105" s="570"/>
      <c r="AJ105" s="570"/>
      <c r="AK105" s="570"/>
      <c r="AL105" s="617">
        <v>3240</v>
      </c>
      <c r="AM105" s="617">
        <v>3240</v>
      </c>
      <c r="AN105" s="617">
        <v>3240</v>
      </c>
      <c r="AO105" s="617">
        <v>3240</v>
      </c>
      <c r="AP105" s="617">
        <v>3240</v>
      </c>
      <c r="AQ105" s="617">
        <v>3240</v>
      </c>
      <c r="AR105" s="613" t="s">
        <v>373</v>
      </c>
      <c r="AS105" s="613" t="s">
        <v>2514</v>
      </c>
      <c r="AT105" s="613" t="s">
        <v>2514</v>
      </c>
      <c r="AU105" s="613" t="s">
        <v>3493</v>
      </c>
      <c r="AV105" s="613" t="s">
        <v>1227</v>
      </c>
      <c r="AW105" s="613" t="s">
        <v>373</v>
      </c>
      <c r="AX105" s="613" t="s">
        <v>3513</v>
      </c>
      <c r="AY105" s="619">
        <v>46262</v>
      </c>
      <c r="AZ105" s="620">
        <v>46273</v>
      </c>
      <c r="BA105" s="620"/>
      <c r="BB105" s="620">
        <v>46275</v>
      </c>
      <c r="BC105" s="622" t="s">
        <v>3602</v>
      </c>
      <c r="BD105" s="663" t="s">
        <v>3305</v>
      </c>
      <c r="BF105" s="521">
        <f t="shared" si="11"/>
        <v>0</v>
      </c>
    </row>
    <row r="106" s="521" customFormat="1" ht="29.1" customHeight="1" spans="1:58">
      <c r="A106" s="555">
        <f t="shared" si="9"/>
        <v>102</v>
      </c>
      <c r="B106" s="183" t="s">
        <v>209</v>
      </c>
      <c r="C106" s="96" t="s">
        <v>2947</v>
      </c>
      <c r="D106" s="573" t="s">
        <v>3603</v>
      </c>
      <c r="E106" s="293" t="s">
        <v>3604</v>
      </c>
      <c r="F106" s="82">
        <v>46188</v>
      </c>
      <c r="G106" s="82">
        <v>46275</v>
      </c>
      <c r="H106" s="82">
        <v>46275</v>
      </c>
      <c r="I106" s="562">
        <v>46224</v>
      </c>
      <c r="J106" s="563">
        <f t="shared" si="12"/>
        <v>10800</v>
      </c>
      <c r="K106" s="564">
        <v>24</v>
      </c>
      <c r="L106" s="570"/>
      <c r="M106" s="570"/>
      <c r="N106" s="570"/>
      <c r="O106" s="570"/>
      <c r="P106" s="570"/>
      <c r="Q106" s="570"/>
      <c r="R106" s="570"/>
      <c r="S106" s="570"/>
      <c r="T106" s="570"/>
      <c r="U106" s="570"/>
      <c r="V106" s="665"/>
      <c r="W106" s="665"/>
      <c r="X106" s="665"/>
      <c r="Y106" s="665"/>
      <c r="Z106" s="570"/>
      <c r="AA106" s="570"/>
      <c r="AB106" s="570"/>
      <c r="AC106" s="570"/>
      <c r="AD106" s="570"/>
      <c r="AE106" s="570"/>
      <c r="AF106" s="570"/>
      <c r="AG106" s="570"/>
      <c r="AH106" s="570"/>
      <c r="AI106" s="570"/>
      <c r="AJ106" s="570"/>
      <c r="AK106" s="570"/>
      <c r="AL106" s="570">
        <v>1800</v>
      </c>
      <c r="AM106" s="570">
        <v>1800</v>
      </c>
      <c r="AN106" s="570">
        <v>1800</v>
      </c>
      <c r="AO106" s="570">
        <v>1800</v>
      </c>
      <c r="AP106" s="570">
        <v>1800</v>
      </c>
      <c r="AQ106" s="570">
        <v>1800</v>
      </c>
      <c r="AR106" s="576" t="s">
        <v>1901</v>
      </c>
      <c r="AS106" s="556" t="s">
        <v>616</v>
      </c>
      <c r="AT106" s="556" t="s">
        <v>616</v>
      </c>
      <c r="AU106" s="556" t="s">
        <v>2518</v>
      </c>
      <c r="AV106" s="556" t="s">
        <v>1660</v>
      </c>
      <c r="AW106" s="556" t="s">
        <v>1901</v>
      </c>
      <c r="AX106" s="556" t="s">
        <v>3513</v>
      </c>
      <c r="AY106" s="581">
        <v>46275</v>
      </c>
      <c r="AZ106" s="578">
        <v>46280</v>
      </c>
      <c r="BA106" s="568"/>
      <c r="BB106" s="568"/>
      <c r="BC106" s="579" t="s">
        <v>3605</v>
      </c>
      <c r="BD106" s="663" t="s">
        <v>3305</v>
      </c>
      <c r="BF106" s="521">
        <f t="shared" si="11"/>
        <v>5400</v>
      </c>
    </row>
    <row r="107" s="521" customFormat="1" ht="29.1" customHeight="1" spans="1:58">
      <c r="A107" s="555">
        <f t="shared" si="9"/>
        <v>103</v>
      </c>
      <c r="B107" s="183" t="s">
        <v>209</v>
      </c>
      <c r="C107" s="96" t="s">
        <v>2947</v>
      </c>
      <c r="D107" s="573" t="s">
        <v>3606</v>
      </c>
      <c r="E107" s="293" t="s">
        <v>3607</v>
      </c>
      <c r="F107" s="82">
        <v>46188</v>
      </c>
      <c r="G107" s="82">
        <v>46275</v>
      </c>
      <c r="H107" s="82">
        <v>46275</v>
      </c>
      <c r="I107" s="562">
        <v>46224</v>
      </c>
      <c r="J107" s="563">
        <f t="shared" si="12"/>
        <v>4320</v>
      </c>
      <c r="K107" s="564">
        <v>24</v>
      </c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665"/>
      <c r="W107" s="665"/>
      <c r="X107" s="665"/>
      <c r="Y107" s="665"/>
      <c r="Z107" s="570"/>
      <c r="AA107" s="570"/>
      <c r="AB107" s="570"/>
      <c r="AC107" s="570"/>
      <c r="AD107" s="570"/>
      <c r="AE107" s="570"/>
      <c r="AF107" s="570"/>
      <c r="AG107" s="570"/>
      <c r="AH107" s="570"/>
      <c r="AI107" s="570"/>
      <c r="AJ107" s="570"/>
      <c r="AK107" s="570"/>
      <c r="AL107" s="570">
        <v>720</v>
      </c>
      <c r="AM107" s="570">
        <v>720</v>
      </c>
      <c r="AN107" s="570">
        <v>720</v>
      </c>
      <c r="AO107" s="570">
        <v>720</v>
      </c>
      <c r="AP107" s="570">
        <v>720</v>
      </c>
      <c r="AQ107" s="570">
        <v>720</v>
      </c>
      <c r="AR107" s="576" t="s">
        <v>1901</v>
      </c>
      <c r="AS107" s="556" t="s">
        <v>616</v>
      </c>
      <c r="AT107" s="556" t="s">
        <v>616</v>
      </c>
      <c r="AU107" s="556" t="s">
        <v>2518</v>
      </c>
      <c r="AV107" s="556" t="s">
        <v>1660</v>
      </c>
      <c r="AW107" s="556" t="s">
        <v>1901</v>
      </c>
      <c r="AX107" s="556" t="s">
        <v>3513</v>
      </c>
      <c r="AY107" s="581">
        <v>46275</v>
      </c>
      <c r="AZ107" s="578">
        <v>46280</v>
      </c>
      <c r="BA107" s="568"/>
      <c r="BB107" s="568"/>
      <c r="BC107" s="579" t="s">
        <v>3608</v>
      </c>
      <c r="BD107" s="663" t="s">
        <v>3305</v>
      </c>
      <c r="BF107" s="521">
        <f t="shared" si="11"/>
        <v>2160</v>
      </c>
    </row>
    <row r="108" s="521" customFormat="1" ht="29.1" customHeight="1" spans="1:58">
      <c r="A108" s="555">
        <f t="shared" si="9"/>
        <v>104</v>
      </c>
      <c r="B108" s="183" t="s">
        <v>209</v>
      </c>
      <c r="C108" s="96" t="s">
        <v>2947</v>
      </c>
      <c r="D108" s="573" t="s">
        <v>3609</v>
      </c>
      <c r="E108" s="293" t="s">
        <v>3610</v>
      </c>
      <c r="F108" s="82">
        <v>46188</v>
      </c>
      <c r="G108" s="82">
        <v>46275</v>
      </c>
      <c r="H108" s="82">
        <v>46275</v>
      </c>
      <c r="I108" s="562">
        <v>46224</v>
      </c>
      <c r="J108" s="563">
        <f t="shared" si="12"/>
        <v>4320</v>
      </c>
      <c r="K108" s="564">
        <v>24</v>
      </c>
      <c r="L108" s="570"/>
      <c r="M108" s="570"/>
      <c r="N108" s="570"/>
      <c r="O108" s="570"/>
      <c r="P108" s="570"/>
      <c r="Q108" s="570"/>
      <c r="R108" s="570" t="s">
        <v>898</v>
      </c>
      <c r="S108" s="570"/>
      <c r="T108" s="570"/>
      <c r="U108" s="570"/>
      <c r="V108" s="665"/>
      <c r="W108" s="665"/>
      <c r="X108" s="665"/>
      <c r="Y108" s="665"/>
      <c r="Z108" s="570"/>
      <c r="AA108" s="570"/>
      <c r="AB108" s="570"/>
      <c r="AC108" s="570"/>
      <c r="AD108" s="570"/>
      <c r="AE108" s="570"/>
      <c r="AF108" s="570"/>
      <c r="AG108" s="570"/>
      <c r="AH108" s="570"/>
      <c r="AI108" s="570"/>
      <c r="AJ108" s="570"/>
      <c r="AK108" s="570"/>
      <c r="AL108" s="570">
        <v>720</v>
      </c>
      <c r="AM108" s="570">
        <v>720</v>
      </c>
      <c r="AN108" s="570">
        <v>720</v>
      </c>
      <c r="AO108" s="570">
        <v>720</v>
      </c>
      <c r="AP108" s="570">
        <v>720</v>
      </c>
      <c r="AQ108" s="570">
        <v>720</v>
      </c>
      <c r="AR108" s="576" t="s">
        <v>1901</v>
      </c>
      <c r="AS108" s="556" t="s">
        <v>616</v>
      </c>
      <c r="AT108" s="556" t="s">
        <v>616</v>
      </c>
      <c r="AU108" s="556" t="s">
        <v>2518</v>
      </c>
      <c r="AV108" s="556" t="s">
        <v>1660</v>
      </c>
      <c r="AW108" s="556" t="s">
        <v>1901</v>
      </c>
      <c r="AX108" s="556" t="s">
        <v>3513</v>
      </c>
      <c r="AY108" s="581">
        <v>46275</v>
      </c>
      <c r="AZ108" s="578">
        <v>46280</v>
      </c>
      <c r="BA108" s="568"/>
      <c r="BB108" s="568"/>
      <c r="BC108" s="579" t="s">
        <v>3611</v>
      </c>
      <c r="BD108" s="663" t="s">
        <v>3305</v>
      </c>
      <c r="BF108" s="521">
        <f t="shared" si="11"/>
        <v>2160</v>
      </c>
    </row>
    <row r="109" s="521" customFormat="1" ht="29.1" customHeight="1" spans="1:58">
      <c r="A109" s="555">
        <f t="shared" si="9"/>
        <v>105</v>
      </c>
      <c r="B109" s="183" t="s">
        <v>209</v>
      </c>
      <c r="C109" s="96" t="s">
        <v>2947</v>
      </c>
      <c r="D109" s="573" t="s">
        <v>3612</v>
      </c>
      <c r="E109" s="293" t="s">
        <v>3613</v>
      </c>
      <c r="F109" s="82">
        <v>46188</v>
      </c>
      <c r="G109" s="82">
        <v>46275</v>
      </c>
      <c r="H109" s="82">
        <v>46275</v>
      </c>
      <c r="I109" s="562">
        <v>46224</v>
      </c>
      <c r="J109" s="563">
        <f t="shared" si="12"/>
        <v>12960</v>
      </c>
      <c r="K109" s="564">
        <v>24</v>
      </c>
      <c r="L109" s="570"/>
      <c r="M109" s="570"/>
      <c r="N109" s="570"/>
      <c r="O109" s="570"/>
      <c r="P109" s="570"/>
      <c r="Q109" s="570"/>
      <c r="R109" s="570"/>
      <c r="S109" s="570"/>
      <c r="T109" s="570"/>
      <c r="U109" s="570"/>
      <c r="V109" s="665"/>
      <c r="W109" s="665"/>
      <c r="X109" s="665"/>
      <c r="Y109" s="665"/>
      <c r="Z109" s="570"/>
      <c r="AA109" s="570"/>
      <c r="AB109" s="570"/>
      <c r="AC109" s="570"/>
      <c r="AD109" s="570"/>
      <c r="AE109" s="570"/>
      <c r="AF109" s="570"/>
      <c r="AG109" s="570"/>
      <c r="AH109" s="570"/>
      <c r="AI109" s="570"/>
      <c r="AJ109" s="570"/>
      <c r="AK109" s="570"/>
      <c r="AL109" s="570">
        <v>2160</v>
      </c>
      <c r="AM109" s="570">
        <v>2160</v>
      </c>
      <c r="AN109" s="570">
        <v>2160</v>
      </c>
      <c r="AO109" s="570">
        <v>2160</v>
      </c>
      <c r="AP109" s="570">
        <v>2160</v>
      </c>
      <c r="AQ109" s="570">
        <v>2160</v>
      </c>
      <c r="AR109" s="576" t="s">
        <v>1901</v>
      </c>
      <c r="AS109" s="556" t="s">
        <v>616</v>
      </c>
      <c r="AT109" s="556" t="s">
        <v>616</v>
      </c>
      <c r="AU109" s="556" t="s">
        <v>2518</v>
      </c>
      <c r="AV109" s="556" t="s">
        <v>1660</v>
      </c>
      <c r="AW109" s="556" t="s">
        <v>1901</v>
      </c>
      <c r="AX109" s="556" t="s">
        <v>3513</v>
      </c>
      <c r="AY109" s="581">
        <v>46275</v>
      </c>
      <c r="AZ109" s="578">
        <v>46280</v>
      </c>
      <c r="BA109" s="568"/>
      <c r="BB109" s="568"/>
      <c r="BC109" s="579" t="s">
        <v>3614</v>
      </c>
      <c r="BD109" s="663" t="s">
        <v>3305</v>
      </c>
      <c r="BF109" s="521">
        <f t="shared" si="11"/>
        <v>6480</v>
      </c>
    </row>
    <row r="110" s="521" customFormat="1" ht="29.1" customHeight="1" spans="1:58">
      <c r="A110" s="555">
        <f t="shared" si="9"/>
        <v>106</v>
      </c>
      <c r="B110" s="183" t="s">
        <v>209</v>
      </c>
      <c r="C110" s="96" t="s">
        <v>2947</v>
      </c>
      <c r="D110" s="573" t="s">
        <v>3615</v>
      </c>
      <c r="E110" s="293" t="s">
        <v>3616</v>
      </c>
      <c r="F110" s="82">
        <v>46188</v>
      </c>
      <c r="G110" s="82">
        <v>46282</v>
      </c>
      <c r="H110" s="82">
        <v>46282</v>
      </c>
      <c r="I110" s="562">
        <v>46224</v>
      </c>
      <c r="J110" s="563">
        <f t="shared" si="12"/>
        <v>6480</v>
      </c>
      <c r="K110" s="564">
        <v>24</v>
      </c>
      <c r="L110" s="570"/>
      <c r="M110" s="570"/>
      <c r="N110" s="570"/>
      <c r="O110" s="570"/>
      <c r="P110" s="570"/>
      <c r="Q110" s="570"/>
      <c r="R110" s="570"/>
      <c r="S110" s="570"/>
      <c r="T110" s="570"/>
      <c r="U110" s="570"/>
      <c r="V110" s="665"/>
      <c r="W110" s="665"/>
      <c r="X110" s="665"/>
      <c r="Y110" s="665"/>
      <c r="Z110" s="570"/>
      <c r="AA110" s="570"/>
      <c r="AB110" s="570"/>
      <c r="AC110" s="570"/>
      <c r="AD110" s="570"/>
      <c r="AE110" s="570"/>
      <c r="AF110" s="570"/>
      <c r="AG110" s="570"/>
      <c r="AH110" s="570"/>
      <c r="AI110" s="570"/>
      <c r="AJ110" s="570"/>
      <c r="AK110" s="570"/>
      <c r="AL110" s="570">
        <v>1080</v>
      </c>
      <c r="AM110" s="570">
        <v>1080</v>
      </c>
      <c r="AN110" s="570">
        <v>1080</v>
      </c>
      <c r="AO110" s="570">
        <v>1080</v>
      </c>
      <c r="AP110" s="570">
        <v>1080</v>
      </c>
      <c r="AQ110" s="570">
        <v>1080</v>
      </c>
      <c r="AR110" s="576" t="s">
        <v>1901</v>
      </c>
      <c r="AS110" s="556" t="s">
        <v>616</v>
      </c>
      <c r="AT110" s="556" t="s">
        <v>616</v>
      </c>
      <c r="AU110" s="556" t="s">
        <v>2518</v>
      </c>
      <c r="AV110" s="556" t="s">
        <v>1660</v>
      </c>
      <c r="AW110" s="556" t="s">
        <v>1901</v>
      </c>
      <c r="AX110" s="556" t="s">
        <v>3513</v>
      </c>
      <c r="AY110" s="581">
        <v>46282</v>
      </c>
      <c r="AZ110" s="578"/>
      <c r="BA110" s="568"/>
      <c r="BB110" s="568"/>
      <c r="BC110" s="579" t="s">
        <v>3617</v>
      </c>
      <c r="BD110" s="663" t="s">
        <v>3305</v>
      </c>
      <c r="BF110" s="521">
        <f t="shared" si="11"/>
        <v>3240</v>
      </c>
    </row>
    <row r="111" s="521" customFormat="1" ht="29.1" customHeight="1" spans="1:58">
      <c r="A111" s="555">
        <f t="shared" si="9"/>
        <v>107</v>
      </c>
      <c r="B111" s="183" t="s">
        <v>209</v>
      </c>
      <c r="C111" s="96" t="s">
        <v>2947</v>
      </c>
      <c r="D111" s="573" t="s">
        <v>3618</v>
      </c>
      <c r="E111" s="293" t="s">
        <v>3619</v>
      </c>
      <c r="F111" s="82">
        <v>46188</v>
      </c>
      <c r="G111" s="82">
        <v>46282</v>
      </c>
      <c r="H111" s="82">
        <v>46282</v>
      </c>
      <c r="I111" s="562">
        <v>46224</v>
      </c>
      <c r="J111" s="563">
        <f t="shared" si="12"/>
        <v>8640</v>
      </c>
      <c r="K111" s="564">
        <v>24</v>
      </c>
      <c r="L111" s="570"/>
      <c r="M111" s="570"/>
      <c r="N111" s="570"/>
      <c r="O111" s="570"/>
      <c r="P111" s="570"/>
      <c r="Q111" s="570"/>
      <c r="R111" s="570"/>
      <c r="S111" s="570"/>
      <c r="T111" s="570"/>
      <c r="U111" s="570"/>
      <c r="V111" s="665"/>
      <c r="W111" s="665"/>
      <c r="X111" s="665"/>
      <c r="Y111" s="665"/>
      <c r="Z111" s="570"/>
      <c r="AA111" s="570"/>
      <c r="AB111" s="570"/>
      <c r="AC111" s="570"/>
      <c r="AD111" s="570"/>
      <c r="AE111" s="570"/>
      <c r="AF111" s="570"/>
      <c r="AG111" s="570"/>
      <c r="AH111" s="570"/>
      <c r="AI111" s="570"/>
      <c r="AJ111" s="570"/>
      <c r="AK111" s="570"/>
      <c r="AL111" s="570">
        <v>1440</v>
      </c>
      <c r="AM111" s="570">
        <v>1440</v>
      </c>
      <c r="AN111" s="570">
        <v>1440</v>
      </c>
      <c r="AO111" s="570">
        <v>1440</v>
      </c>
      <c r="AP111" s="570">
        <v>1440</v>
      </c>
      <c r="AQ111" s="570">
        <v>1440</v>
      </c>
      <c r="AR111" s="576" t="s">
        <v>1901</v>
      </c>
      <c r="AS111" s="556" t="s">
        <v>616</v>
      </c>
      <c r="AT111" s="556" t="s">
        <v>616</v>
      </c>
      <c r="AU111" s="556" t="s">
        <v>2518</v>
      </c>
      <c r="AV111" s="556" t="s">
        <v>1660</v>
      </c>
      <c r="AW111" s="556" t="s">
        <v>1901</v>
      </c>
      <c r="AX111" s="556" t="s">
        <v>3513</v>
      </c>
      <c r="AY111" s="581">
        <v>46282</v>
      </c>
      <c r="AZ111" s="578"/>
      <c r="BA111" s="568"/>
      <c r="BB111" s="568"/>
      <c r="BC111" s="579" t="s">
        <v>3620</v>
      </c>
      <c r="BD111" s="663" t="s">
        <v>3305</v>
      </c>
      <c r="BF111" s="521">
        <f t="shared" si="11"/>
        <v>4320</v>
      </c>
    </row>
    <row r="112" s="521" customFormat="1" ht="29.1" customHeight="1" spans="1:58">
      <c r="A112" s="555">
        <f t="shared" si="9"/>
        <v>108</v>
      </c>
      <c r="B112" s="183" t="s">
        <v>209</v>
      </c>
      <c r="C112" s="96" t="s">
        <v>2947</v>
      </c>
      <c r="D112" s="573" t="s">
        <v>3621</v>
      </c>
      <c r="E112" s="293" t="s">
        <v>3622</v>
      </c>
      <c r="F112" s="82">
        <v>46188</v>
      </c>
      <c r="G112" s="82">
        <v>46282</v>
      </c>
      <c r="H112" s="82">
        <v>46282</v>
      </c>
      <c r="I112" s="562">
        <v>46224</v>
      </c>
      <c r="J112" s="563">
        <f t="shared" si="12"/>
        <v>12960</v>
      </c>
      <c r="K112" s="564">
        <v>24</v>
      </c>
      <c r="L112" s="570"/>
      <c r="M112" s="570"/>
      <c r="N112" s="570"/>
      <c r="O112" s="570"/>
      <c r="P112" s="570"/>
      <c r="Q112" s="570"/>
      <c r="R112" s="570"/>
      <c r="S112" s="570"/>
      <c r="T112" s="570"/>
      <c r="U112" s="570"/>
      <c r="V112" s="665"/>
      <c r="W112" s="665"/>
      <c r="X112" s="665"/>
      <c r="Y112" s="665"/>
      <c r="Z112" s="570"/>
      <c r="AA112" s="570"/>
      <c r="AB112" s="570"/>
      <c r="AC112" s="570"/>
      <c r="AD112" s="570"/>
      <c r="AE112" s="570"/>
      <c r="AF112" s="570"/>
      <c r="AG112" s="570"/>
      <c r="AH112" s="570"/>
      <c r="AI112" s="570"/>
      <c r="AJ112" s="570"/>
      <c r="AK112" s="570"/>
      <c r="AL112" s="570">
        <v>2160</v>
      </c>
      <c r="AM112" s="570">
        <v>2160</v>
      </c>
      <c r="AN112" s="570">
        <v>2160</v>
      </c>
      <c r="AO112" s="570">
        <v>2160</v>
      </c>
      <c r="AP112" s="570">
        <v>2160</v>
      </c>
      <c r="AQ112" s="570">
        <v>2160</v>
      </c>
      <c r="AR112" s="576" t="s">
        <v>1901</v>
      </c>
      <c r="AS112" s="556" t="s">
        <v>616</v>
      </c>
      <c r="AT112" s="556" t="s">
        <v>616</v>
      </c>
      <c r="AU112" s="556" t="s">
        <v>2518</v>
      </c>
      <c r="AV112" s="556" t="s">
        <v>1660</v>
      </c>
      <c r="AW112" s="556" t="s">
        <v>1901</v>
      </c>
      <c r="AX112" s="556" t="s">
        <v>3513</v>
      </c>
      <c r="AY112" s="581">
        <v>46282</v>
      </c>
      <c r="AZ112" s="578"/>
      <c r="BA112" s="568"/>
      <c r="BB112" s="568"/>
      <c r="BC112" s="579" t="s">
        <v>3623</v>
      </c>
      <c r="BD112" s="663" t="s">
        <v>3305</v>
      </c>
      <c r="BF112" s="521">
        <f t="shared" si="11"/>
        <v>6480</v>
      </c>
    </row>
    <row r="113" s="521" customFormat="1" ht="29.1" customHeight="1" spans="1:58">
      <c r="A113" s="555">
        <f t="shared" ref="A113:A119" si="13">ROW()-4</f>
        <v>109</v>
      </c>
      <c r="B113" s="183" t="s">
        <v>209</v>
      </c>
      <c r="C113" s="96" t="s">
        <v>2947</v>
      </c>
      <c r="D113" s="573" t="s">
        <v>3624</v>
      </c>
      <c r="E113" s="293" t="s">
        <v>3625</v>
      </c>
      <c r="F113" s="82">
        <v>46188</v>
      </c>
      <c r="G113" s="82">
        <v>46282</v>
      </c>
      <c r="H113" s="82">
        <v>46282</v>
      </c>
      <c r="I113" s="562">
        <v>46224</v>
      </c>
      <c r="J113" s="563">
        <f t="shared" ref="J113:J144" si="14">SUBTOTAL(9,L113:AQ113)</f>
        <v>4320</v>
      </c>
      <c r="K113" s="564">
        <v>24</v>
      </c>
      <c r="L113" s="570"/>
      <c r="M113" s="570"/>
      <c r="N113" s="570"/>
      <c r="O113" s="570"/>
      <c r="P113" s="570"/>
      <c r="Q113" s="570"/>
      <c r="R113" s="570"/>
      <c r="S113" s="570"/>
      <c r="T113" s="570"/>
      <c r="U113" s="570"/>
      <c r="V113" s="665"/>
      <c r="W113" s="665"/>
      <c r="X113" s="665"/>
      <c r="Y113" s="665"/>
      <c r="Z113" s="570"/>
      <c r="AA113" s="570"/>
      <c r="AB113" s="570"/>
      <c r="AC113" s="570"/>
      <c r="AD113" s="570"/>
      <c r="AE113" s="570"/>
      <c r="AF113" s="570"/>
      <c r="AG113" s="570"/>
      <c r="AH113" s="570"/>
      <c r="AI113" s="570"/>
      <c r="AJ113" s="570"/>
      <c r="AK113" s="570"/>
      <c r="AL113" s="570">
        <v>720</v>
      </c>
      <c r="AM113" s="570">
        <v>720</v>
      </c>
      <c r="AN113" s="570">
        <v>720</v>
      </c>
      <c r="AO113" s="570">
        <v>720</v>
      </c>
      <c r="AP113" s="570">
        <v>720</v>
      </c>
      <c r="AQ113" s="570">
        <v>720</v>
      </c>
      <c r="AR113" s="576" t="s">
        <v>1901</v>
      </c>
      <c r="AS113" s="556" t="s">
        <v>616</v>
      </c>
      <c r="AT113" s="556" t="s">
        <v>616</v>
      </c>
      <c r="AU113" s="556" t="s">
        <v>2518</v>
      </c>
      <c r="AV113" s="556" t="s">
        <v>1660</v>
      </c>
      <c r="AW113" s="556" t="s">
        <v>1901</v>
      </c>
      <c r="AX113" s="556" t="s">
        <v>3513</v>
      </c>
      <c r="AY113" s="581">
        <v>46282</v>
      </c>
      <c r="AZ113" s="578"/>
      <c r="BA113" s="568"/>
      <c r="BB113" s="568"/>
      <c r="BC113" s="579" t="s">
        <v>3626</v>
      </c>
      <c r="BD113" s="663" t="s">
        <v>3305</v>
      </c>
      <c r="BF113" s="521">
        <f t="shared" si="11"/>
        <v>2160</v>
      </c>
    </row>
    <row r="114" s="521" customFormat="1" ht="35.25" hidden="1" customHeight="1" spans="1:58">
      <c r="A114" s="666">
        <f t="shared" si="13"/>
        <v>110</v>
      </c>
      <c r="B114" s="667" t="s">
        <v>209</v>
      </c>
      <c r="C114" s="668" t="s">
        <v>2947</v>
      </c>
      <c r="D114" s="669" t="s">
        <v>3627</v>
      </c>
      <c r="E114" s="669" t="s">
        <v>3628</v>
      </c>
      <c r="F114" s="670">
        <v>46188</v>
      </c>
      <c r="G114" s="670">
        <v>46282</v>
      </c>
      <c r="H114" s="670">
        <v>46282</v>
      </c>
      <c r="I114" s="671"/>
      <c r="J114" s="672">
        <f t="shared" si="14"/>
        <v>0</v>
      </c>
      <c r="K114" s="673">
        <v>24</v>
      </c>
      <c r="L114" s="674"/>
      <c r="M114" s="674"/>
      <c r="N114" s="674"/>
      <c r="O114" s="674"/>
      <c r="P114" s="674"/>
      <c r="Q114" s="674"/>
      <c r="R114" s="674"/>
      <c r="S114" s="674"/>
      <c r="T114" s="674"/>
      <c r="U114" s="674"/>
      <c r="V114" s="674"/>
      <c r="W114" s="674"/>
      <c r="X114" s="674"/>
      <c r="Y114" s="674"/>
      <c r="Z114" s="674"/>
      <c r="AA114" s="674"/>
      <c r="AB114" s="674"/>
      <c r="AC114" s="674"/>
      <c r="AD114" s="674"/>
      <c r="AE114" s="674"/>
      <c r="AF114" s="674"/>
      <c r="AG114" s="674"/>
      <c r="AH114" s="674"/>
      <c r="AI114" s="674"/>
      <c r="AJ114" s="674"/>
      <c r="AK114" s="674"/>
      <c r="AL114" s="674"/>
      <c r="AM114" s="674"/>
      <c r="AN114" s="674"/>
      <c r="AO114" s="674"/>
      <c r="AP114" s="674"/>
      <c r="AQ114" s="674"/>
      <c r="AR114" s="675"/>
      <c r="AS114" s="675"/>
      <c r="AT114" s="675"/>
      <c r="AU114" s="675"/>
      <c r="AV114" s="675"/>
      <c r="AW114" s="675"/>
      <c r="AX114" s="675" t="s">
        <v>3513</v>
      </c>
      <c r="AY114" s="676">
        <v>46282</v>
      </c>
      <c r="AZ114" s="677"/>
      <c r="BA114" s="678"/>
      <c r="BB114" s="678" t="s">
        <v>3629</v>
      </c>
      <c r="BC114" s="679"/>
      <c r="BD114" s="663" t="s">
        <v>3305</v>
      </c>
    </row>
    <row r="115" s="521" customFormat="1" ht="35.25" hidden="1" customHeight="1" spans="1:58">
      <c r="A115" s="666">
        <f t="shared" si="13"/>
        <v>111</v>
      </c>
      <c r="B115" s="667" t="s">
        <v>209</v>
      </c>
      <c r="C115" s="668" t="s">
        <v>2947</v>
      </c>
      <c r="D115" s="669" t="s">
        <v>3630</v>
      </c>
      <c r="E115" s="669" t="s">
        <v>3628</v>
      </c>
      <c r="F115" s="670">
        <v>46188</v>
      </c>
      <c r="G115" s="670">
        <v>46282</v>
      </c>
      <c r="H115" s="670">
        <v>46282</v>
      </c>
      <c r="I115" s="671"/>
      <c r="J115" s="672">
        <f t="shared" si="14"/>
        <v>0</v>
      </c>
      <c r="K115" s="673">
        <v>24</v>
      </c>
      <c r="L115" s="674"/>
      <c r="M115" s="674"/>
      <c r="N115" s="674"/>
      <c r="O115" s="674"/>
      <c r="P115" s="674"/>
      <c r="Q115" s="674"/>
      <c r="R115" s="674"/>
      <c r="S115" s="674"/>
      <c r="T115" s="674"/>
      <c r="U115" s="674"/>
      <c r="V115" s="674"/>
      <c r="W115" s="674"/>
      <c r="X115" s="674"/>
      <c r="Y115" s="674"/>
      <c r="Z115" s="674"/>
      <c r="AA115" s="674"/>
      <c r="AB115" s="674"/>
      <c r="AC115" s="674"/>
      <c r="AD115" s="674"/>
      <c r="AE115" s="674"/>
      <c r="AF115" s="674"/>
      <c r="AG115" s="674"/>
      <c r="AH115" s="674"/>
      <c r="AI115" s="674"/>
      <c r="AJ115" s="674"/>
      <c r="AK115" s="674"/>
      <c r="AL115" s="674"/>
      <c r="AM115" s="674"/>
      <c r="AN115" s="674"/>
      <c r="AO115" s="674"/>
      <c r="AP115" s="674"/>
      <c r="AQ115" s="674"/>
      <c r="AR115" s="675"/>
      <c r="AS115" s="675"/>
      <c r="AT115" s="675"/>
      <c r="AU115" s="675"/>
      <c r="AV115" s="675"/>
      <c r="AW115" s="675"/>
      <c r="AX115" s="675" t="s">
        <v>3513</v>
      </c>
      <c r="AY115" s="676">
        <v>46282</v>
      </c>
      <c r="AZ115" s="677"/>
      <c r="BA115" s="678"/>
      <c r="BB115" s="678" t="s">
        <v>3629</v>
      </c>
      <c r="BC115" s="679"/>
      <c r="BD115" s="663" t="s">
        <v>3305</v>
      </c>
    </row>
    <row r="116" s="521" customFormat="1" ht="35.25" hidden="1" customHeight="1" spans="1:58">
      <c r="A116" s="666">
        <f t="shared" si="13"/>
        <v>112</v>
      </c>
      <c r="B116" s="667" t="s">
        <v>209</v>
      </c>
      <c r="C116" s="668" t="s">
        <v>2947</v>
      </c>
      <c r="D116" s="669" t="s">
        <v>3631</v>
      </c>
      <c r="E116" s="669" t="s">
        <v>3628</v>
      </c>
      <c r="F116" s="670">
        <v>46188</v>
      </c>
      <c r="G116" s="670">
        <v>46282</v>
      </c>
      <c r="H116" s="670">
        <v>46282</v>
      </c>
      <c r="I116" s="671"/>
      <c r="J116" s="672">
        <f t="shared" si="14"/>
        <v>0</v>
      </c>
      <c r="K116" s="673">
        <v>24</v>
      </c>
      <c r="L116" s="674"/>
      <c r="M116" s="674"/>
      <c r="N116" s="674"/>
      <c r="O116" s="674"/>
      <c r="P116" s="674"/>
      <c r="Q116" s="674"/>
      <c r="R116" s="674"/>
      <c r="S116" s="674"/>
      <c r="T116" s="674"/>
      <c r="U116" s="674"/>
      <c r="V116" s="674"/>
      <c r="W116" s="674"/>
      <c r="X116" s="674"/>
      <c r="Y116" s="674"/>
      <c r="Z116" s="674"/>
      <c r="AA116" s="674"/>
      <c r="AB116" s="674"/>
      <c r="AC116" s="674"/>
      <c r="AD116" s="674"/>
      <c r="AE116" s="674"/>
      <c r="AF116" s="674"/>
      <c r="AG116" s="674"/>
      <c r="AH116" s="674"/>
      <c r="AI116" s="674"/>
      <c r="AJ116" s="674"/>
      <c r="AK116" s="674"/>
      <c r="AL116" s="674"/>
      <c r="AM116" s="674"/>
      <c r="AN116" s="674"/>
      <c r="AO116" s="674"/>
      <c r="AP116" s="674"/>
      <c r="AQ116" s="674"/>
      <c r="AR116" s="675"/>
      <c r="AS116" s="675"/>
      <c r="AT116" s="675"/>
      <c r="AU116" s="675"/>
      <c r="AV116" s="675"/>
      <c r="AW116" s="675"/>
      <c r="AX116" s="675" t="s">
        <v>3513</v>
      </c>
      <c r="AY116" s="676">
        <v>46282</v>
      </c>
      <c r="AZ116" s="677"/>
      <c r="BA116" s="678"/>
      <c r="BB116" s="678" t="s">
        <v>3629</v>
      </c>
      <c r="BC116" s="679"/>
      <c r="BD116" s="663" t="s">
        <v>3305</v>
      </c>
    </row>
    <row r="117" s="521" customFormat="1" ht="35.25" hidden="1" customHeight="1" spans="1:58">
      <c r="A117" s="666">
        <f t="shared" si="13"/>
        <v>113</v>
      </c>
      <c r="B117" s="667" t="s">
        <v>209</v>
      </c>
      <c r="C117" s="668" t="s">
        <v>2947</v>
      </c>
      <c r="D117" s="669" t="s">
        <v>3632</v>
      </c>
      <c r="E117" s="669" t="s">
        <v>3628</v>
      </c>
      <c r="F117" s="670">
        <v>46188</v>
      </c>
      <c r="G117" s="670">
        <v>46282</v>
      </c>
      <c r="H117" s="670">
        <v>46282</v>
      </c>
      <c r="I117" s="671"/>
      <c r="J117" s="672">
        <f t="shared" si="14"/>
        <v>0</v>
      </c>
      <c r="K117" s="673">
        <v>24</v>
      </c>
      <c r="L117" s="674"/>
      <c r="M117" s="674"/>
      <c r="N117" s="674"/>
      <c r="O117" s="674"/>
      <c r="P117" s="674"/>
      <c r="Q117" s="674"/>
      <c r="R117" s="674"/>
      <c r="S117" s="674"/>
      <c r="T117" s="674"/>
      <c r="U117" s="674"/>
      <c r="V117" s="674"/>
      <c r="W117" s="674"/>
      <c r="X117" s="674"/>
      <c r="Y117" s="674"/>
      <c r="Z117" s="674"/>
      <c r="AA117" s="674"/>
      <c r="AB117" s="674"/>
      <c r="AC117" s="674"/>
      <c r="AD117" s="674"/>
      <c r="AE117" s="674"/>
      <c r="AF117" s="674"/>
      <c r="AG117" s="674"/>
      <c r="AH117" s="674"/>
      <c r="AI117" s="674"/>
      <c r="AJ117" s="674"/>
      <c r="AK117" s="674"/>
      <c r="AL117" s="674"/>
      <c r="AM117" s="674"/>
      <c r="AN117" s="674"/>
      <c r="AO117" s="674"/>
      <c r="AP117" s="674"/>
      <c r="AQ117" s="674"/>
      <c r="AR117" s="675"/>
      <c r="AS117" s="675"/>
      <c r="AT117" s="675"/>
      <c r="AU117" s="675"/>
      <c r="AV117" s="675"/>
      <c r="AW117" s="675"/>
      <c r="AX117" s="675" t="s">
        <v>3513</v>
      </c>
      <c r="AY117" s="676">
        <v>46282</v>
      </c>
      <c r="AZ117" s="677"/>
      <c r="BA117" s="678"/>
      <c r="BB117" s="678" t="s">
        <v>3629</v>
      </c>
      <c r="BC117" s="679"/>
      <c r="BD117" s="663" t="s">
        <v>3305</v>
      </c>
    </row>
    <row r="118" s="521" customFormat="1" ht="35.25" hidden="1" customHeight="1" spans="1:58">
      <c r="A118" s="666">
        <f t="shared" si="13"/>
        <v>114</v>
      </c>
      <c r="B118" s="667" t="s">
        <v>209</v>
      </c>
      <c r="C118" s="668" t="s">
        <v>2947</v>
      </c>
      <c r="D118" s="669" t="s">
        <v>3633</v>
      </c>
      <c r="E118" s="669" t="s">
        <v>3628</v>
      </c>
      <c r="F118" s="670">
        <v>46188</v>
      </c>
      <c r="G118" s="670">
        <v>46282</v>
      </c>
      <c r="H118" s="670">
        <v>46282</v>
      </c>
      <c r="I118" s="671"/>
      <c r="J118" s="672">
        <f t="shared" si="14"/>
        <v>0</v>
      </c>
      <c r="K118" s="673">
        <v>24</v>
      </c>
      <c r="L118" s="674"/>
      <c r="M118" s="674"/>
      <c r="N118" s="674"/>
      <c r="O118" s="674"/>
      <c r="P118" s="674"/>
      <c r="Q118" s="674"/>
      <c r="R118" s="674"/>
      <c r="S118" s="674"/>
      <c r="T118" s="674"/>
      <c r="U118" s="674"/>
      <c r="V118" s="674"/>
      <c r="W118" s="674"/>
      <c r="X118" s="674"/>
      <c r="Y118" s="674"/>
      <c r="Z118" s="674"/>
      <c r="AA118" s="674"/>
      <c r="AB118" s="674"/>
      <c r="AC118" s="674"/>
      <c r="AD118" s="674"/>
      <c r="AE118" s="674"/>
      <c r="AF118" s="674"/>
      <c r="AG118" s="674"/>
      <c r="AH118" s="674"/>
      <c r="AI118" s="674"/>
      <c r="AJ118" s="674"/>
      <c r="AK118" s="674"/>
      <c r="AL118" s="674"/>
      <c r="AM118" s="674"/>
      <c r="AN118" s="674"/>
      <c r="AO118" s="674"/>
      <c r="AP118" s="674"/>
      <c r="AQ118" s="674"/>
      <c r="AR118" s="675"/>
      <c r="AS118" s="675"/>
      <c r="AT118" s="675"/>
      <c r="AU118" s="675"/>
      <c r="AV118" s="675"/>
      <c r="AW118" s="675"/>
      <c r="AX118" s="675" t="s">
        <v>3513</v>
      </c>
      <c r="AY118" s="676">
        <v>46282</v>
      </c>
      <c r="AZ118" s="677"/>
      <c r="BA118" s="678"/>
      <c r="BB118" s="678" t="s">
        <v>3629</v>
      </c>
      <c r="BC118" s="679"/>
      <c r="BD118" s="663" t="s">
        <v>3305</v>
      </c>
    </row>
    <row r="119" s="521" customFormat="1" ht="29.1" customHeight="1" spans="1:58">
      <c r="A119" s="555">
        <f t="shared" si="13"/>
        <v>115</v>
      </c>
      <c r="B119" s="183" t="s">
        <v>209</v>
      </c>
      <c r="C119" s="96" t="s">
        <v>2947</v>
      </c>
      <c r="D119" s="573" t="s">
        <v>3634</v>
      </c>
      <c r="E119" s="293" t="s">
        <v>3635</v>
      </c>
      <c r="F119" s="82">
        <v>46188</v>
      </c>
      <c r="G119" s="82">
        <v>46289</v>
      </c>
      <c r="H119" s="82">
        <v>46289</v>
      </c>
      <c r="I119" s="562">
        <v>46224</v>
      </c>
      <c r="J119" s="563">
        <f t="shared" si="14"/>
        <v>6480</v>
      </c>
      <c r="K119" s="564">
        <v>24</v>
      </c>
      <c r="L119" s="570"/>
      <c r="M119" s="570"/>
      <c r="N119" s="570"/>
      <c r="O119" s="570"/>
      <c r="P119" s="570"/>
      <c r="Q119" s="570"/>
      <c r="R119" s="570"/>
      <c r="S119" s="570"/>
      <c r="T119" s="570"/>
      <c r="U119" s="570"/>
      <c r="V119" s="665"/>
      <c r="W119" s="665"/>
      <c r="X119" s="665"/>
      <c r="Y119" s="665"/>
      <c r="Z119" s="570"/>
      <c r="AA119" s="570"/>
      <c r="AB119" s="570"/>
      <c r="AC119" s="570"/>
      <c r="AD119" s="570"/>
      <c r="AE119" s="570"/>
      <c r="AF119" s="570"/>
      <c r="AG119" s="570"/>
      <c r="AH119" s="570"/>
      <c r="AI119" s="570"/>
      <c r="AJ119" s="570"/>
      <c r="AK119" s="570"/>
      <c r="AL119" s="570">
        <v>1080</v>
      </c>
      <c r="AM119" s="570">
        <v>1080</v>
      </c>
      <c r="AN119" s="570">
        <v>1080</v>
      </c>
      <c r="AO119" s="570">
        <v>1080</v>
      </c>
      <c r="AP119" s="570">
        <v>1080</v>
      </c>
      <c r="AQ119" s="570">
        <v>1080</v>
      </c>
      <c r="AR119" s="576" t="s">
        <v>1901</v>
      </c>
      <c r="AS119" s="556" t="s">
        <v>616</v>
      </c>
      <c r="AT119" s="556" t="s">
        <v>616</v>
      </c>
      <c r="AU119" s="556" t="s">
        <v>2518</v>
      </c>
      <c r="AV119" s="556" t="s">
        <v>1660</v>
      </c>
      <c r="AW119" s="556" t="s">
        <v>1901</v>
      </c>
      <c r="AX119" s="556" t="s">
        <v>3513</v>
      </c>
      <c r="AY119" s="581">
        <v>46289</v>
      </c>
      <c r="AZ119" s="578"/>
      <c r="BA119" s="568"/>
      <c r="BB119" s="568"/>
      <c r="BC119" s="579" t="s">
        <v>3636</v>
      </c>
      <c r="BD119" s="663" t="s">
        <v>3305</v>
      </c>
      <c r="BF119" s="521">
        <f t="shared" ref="BF119:BF123" si="15">J119/2</f>
        <v>3240</v>
      </c>
    </row>
    <row r="120" s="521" customFormat="1" ht="29.1" customHeight="1" spans="1:58">
      <c r="A120" s="555">
        <f t="shared" ref="A120:A145" si="16">ROW()-4</f>
        <v>116</v>
      </c>
      <c r="B120" s="183" t="s">
        <v>209</v>
      </c>
      <c r="C120" s="96" t="s">
        <v>2947</v>
      </c>
      <c r="D120" s="573" t="s">
        <v>3637</v>
      </c>
      <c r="E120" s="293" t="s">
        <v>3638</v>
      </c>
      <c r="F120" s="82">
        <v>46188</v>
      </c>
      <c r="G120" s="82">
        <v>46289</v>
      </c>
      <c r="H120" s="82">
        <v>46289</v>
      </c>
      <c r="I120" s="562">
        <v>46224</v>
      </c>
      <c r="J120" s="563">
        <f t="shared" si="14"/>
        <v>4320</v>
      </c>
      <c r="K120" s="564">
        <v>24</v>
      </c>
      <c r="L120" s="570"/>
      <c r="M120" s="570"/>
      <c r="N120" s="570"/>
      <c r="O120" s="570"/>
      <c r="P120" s="570"/>
      <c r="Q120" s="570"/>
      <c r="R120" s="570"/>
      <c r="S120" s="570"/>
      <c r="T120" s="570"/>
      <c r="U120" s="570"/>
      <c r="V120" s="665"/>
      <c r="W120" s="665"/>
      <c r="X120" s="665"/>
      <c r="Y120" s="665"/>
      <c r="Z120" s="570"/>
      <c r="AA120" s="570"/>
      <c r="AB120" s="570"/>
      <c r="AC120" s="570"/>
      <c r="AD120" s="570"/>
      <c r="AE120" s="570"/>
      <c r="AF120" s="570"/>
      <c r="AG120" s="570"/>
      <c r="AH120" s="570"/>
      <c r="AI120" s="570"/>
      <c r="AJ120" s="570"/>
      <c r="AK120" s="570"/>
      <c r="AL120" s="570">
        <v>720</v>
      </c>
      <c r="AM120" s="570">
        <v>720</v>
      </c>
      <c r="AN120" s="570">
        <v>720</v>
      </c>
      <c r="AO120" s="570">
        <v>720</v>
      </c>
      <c r="AP120" s="570">
        <v>720</v>
      </c>
      <c r="AQ120" s="570">
        <v>720</v>
      </c>
      <c r="AR120" s="576" t="s">
        <v>1901</v>
      </c>
      <c r="AS120" s="556" t="s">
        <v>616</v>
      </c>
      <c r="AT120" s="556" t="s">
        <v>616</v>
      </c>
      <c r="AU120" s="556" t="s">
        <v>2518</v>
      </c>
      <c r="AV120" s="556" t="s">
        <v>1660</v>
      </c>
      <c r="AW120" s="556" t="s">
        <v>1901</v>
      </c>
      <c r="AX120" s="556" t="s">
        <v>3513</v>
      </c>
      <c r="AY120" s="581">
        <v>46289</v>
      </c>
      <c r="AZ120" s="578"/>
      <c r="BA120" s="568"/>
      <c r="BB120" s="568"/>
      <c r="BC120" s="579" t="s">
        <v>3639</v>
      </c>
      <c r="BD120" s="663" t="s">
        <v>3305</v>
      </c>
      <c r="BF120" s="521">
        <f t="shared" si="15"/>
        <v>2160</v>
      </c>
    </row>
    <row r="121" s="521" customFormat="1" ht="29.1" customHeight="1" spans="1:58">
      <c r="A121" s="555">
        <f t="shared" si="16"/>
        <v>117</v>
      </c>
      <c r="B121" s="183" t="s">
        <v>209</v>
      </c>
      <c r="C121" s="96" t="s">
        <v>2947</v>
      </c>
      <c r="D121" s="573" t="s">
        <v>3640</v>
      </c>
      <c r="E121" s="293" t="s">
        <v>3641</v>
      </c>
      <c r="F121" s="82">
        <v>46188</v>
      </c>
      <c r="G121" s="82">
        <v>46289</v>
      </c>
      <c r="H121" s="82">
        <v>46289</v>
      </c>
      <c r="I121" s="562">
        <v>46224</v>
      </c>
      <c r="J121" s="563">
        <f t="shared" si="14"/>
        <v>4320</v>
      </c>
      <c r="K121" s="564">
        <v>24</v>
      </c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665"/>
      <c r="W121" s="665"/>
      <c r="X121" s="665"/>
      <c r="Y121" s="665"/>
      <c r="Z121" s="570"/>
      <c r="AA121" s="570"/>
      <c r="AB121" s="570"/>
      <c r="AC121" s="570"/>
      <c r="AD121" s="570"/>
      <c r="AE121" s="570"/>
      <c r="AF121" s="570"/>
      <c r="AG121" s="570"/>
      <c r="AH121" s="570"/>
      <c r="AI121" s="570"/>
      <c r="AJ121" s="570"/>
      <c r="AK121" s="570"/>
      <c r="AL121" s="570">
        <v>720</v>
      </c>
      <c r="AM121" s="570">
        <v>720</v>
      </c>
      <c r="AN121" s="570">
        <v>720</v>
      </c>
      <c r="AO121" s="570">
        <v>720</v>
      </c>
      <c r="AP121" s="570">
        <v>720</v>
      </c>
      <c r="AQ121" s="570">
        <v>720</v>
      </c>
      <c r="AR121" s="576" t="s">
        <v>1901</v>
      </c>
      <c r="AS121" s="556" t="s">
        <v>616</v>
      </c>
      <c r="AT121" s="556" t="s">
        <v>616</v>
      </c>
      <c r="AU121" s="556" t="s">
        <v>2518</v>
      </c>
      <c r="AV121" s="556" t="s">
        <v>1660</v>
      </c>
      <c r="AW121" s="556" t="s">
        <v>1901</v>
      </c>
      <c r="AX121" s="556" t="s">
        <v>3513</v>
      </c>
      <c r="AY121" s="581">
        <v>46289</v>
      </c>
      <c r="AZ121" s="578"/>
      <c r="BA121" s="568"/>
      <c r="BB121" s="568"/>
      <c r="BC121" s="579" t="s">
        <v>3642</v>
      </c>
      <c r="BD121" s="663" t="s">
        <v>3305</v>
      </c>
      <c r="BF121" s="521">
        <f t="shared" si="15"/>
        <v>2160</v>
      </c>
    </row>
    <row r="122" s="521" customFormat="1" ht="29.1" customHeight="1" spans="1:58">
      <c r="A122" s="555">
        <f t="shared" si="16"/>
        <v>118</v>
      </c>
      <c r="B122" s="183" t="s">
        <v>209</v>
      </c>
      <c r="C122" s="96" t="s">
        <v>2947</v>
      </c>
      <c r="D122" s="573" t="s">
        <v>3643</v>
      </c>
      <c r="E122" s="293" t="s">
        <v>3644</v>
      </c>
      <c r="F122" s="82">
        <v>46188</v>
      </c>
      <c r="G122" s="82">
        <v>46289</v>
      </c>
      <c r="H122" s="82">
        <v>46289</v>
      </c>
      <c r="I122" s="562">
        <v>46224</v>
      </c>
      <c r="J122" s="563">
        <f t="shared" si="14"/>
        <v>2160</v>
      </c>
      <c r="K122" s="564">
        <v>24</v>
      </c>
      <c r="L122" s="570"/>
      <c r="M122" s="570"/>
      <c r="N122" s="570"/>
      <c r="O122" s="570"/>
      <c r="P122" s="570"/>
      <c r="Q122" s="570"/>
      <c r="R122" s="570"/>
      <c r="S122" s="570"/>
      <c r="T122" s="570"/>
      <c r="U122" s="570"/>
      <c r="V122" s="665"/>
      <c r="W122" s="665"/>
      <c r="X122" s="665"/>
      <c r="Y122" s="665"/>
      <c r="Z122" s="570"/>
      <c r="AA122" s="570"/>
      <c r="AB122" s="570"/>
      <c r="AC122" s="570"/>
      <c r="AD122" s="570"/>
      <c r="AE122" s="570"/>
      <c r="AF122" s="570"/>
      <c r="AG122" s="570"/>
      <c r="AH122" s="570"/>
      <c r="AI122" s="570"/>
      <c r="AJ122" s="570"/>
      <c r="AK122" s="570"/>
      <c r="AL122" s="570">
        <v>360</v>
      </c>
      <c r="AM122" s="570">
        <v>360</v>
      </c>
      <c r="AN122" s="570">
        <v>360</v>
      </c>
      <c r="AO122" s="570">
        <v>360</v>
      </c>
      <c r="AP122" s="570">
        <v>360</v>
      </c>
      <c r="AQ122" s="570">
        <v>360</v>
      </c>
      <c r="AR122" s="576" t="s">
        <v>1901</v>
      </c>
      <c r="AS122" s="556" t="s">
        <v>616</v>
      </c>
      <c r="AT122" s="556" t="s">
        <v>616</v>
      </c>
      <c r="AU122" s="556" t="s">
        <v>2518</v>
      </c>
      <c r="AV122" s="556" t="s">
        <v>1660</v>
      </c>
      <c r="AW122" s="556" t="s">
        <v>1901</v>
      </c>
      <c r="AX122" s="556" t="s">
        <v>3312</v>
      </c>
      <c r="AY122" s="581">
        <v>46289</v>
      </c>
      <c r="AZ122" s="578"/>
      <c r="BA122" s="568"/>
      <c r="BB122" s="568"/>
      <c r="BC122" s="579" t="s">
        <v>3645</v>
      </c>
      <c r="BD122" s="663" t="s">
        <v>3339</v>
      </c>
      <c r="BF122" s="521">
        <f t="shared" si="15"/>
        <v>1080</v>
      </c>
    </row>
    <row r="123" s="521" customFormat="1" ht="29.1" customHeight="1" spans="1:58">
      <c r="A123" s="555">
        <f t="shared" si="16"/>
        <v>119</v>
      </c>
      <c r="B123" s="183" t="s">
        <v>209</v>
      </c>
      <c r="C123" s="96" t="s">
        <v>2947</v>
      </c>
      <c r="D123" s="573" t="s">
        <v>3646</v>
      </c>
      <c r="E123" s="293" t="s">
        <v>3647</v>
      </c>
      <c r="F123" s="82">
        <v>46188</v>
      </c>
      <c r="G123" s="82">
        <v>46289</v>
      </c>
      <c r="H123" s="82">
        <v>46289</v>
      </c>
      <c r="I123" s="562">
        <v>46224</v>
      </c>
      <c r="J123" s="563">
        <f t="shared" si="14"/>
        <v>4320</v>
      </c>
      <c r="K123" s="564">
        <v>24</v>
      </c>
      <c r="L123" s="570"/>
      <c r="M123" s="570"/>
      <c r="N123" s="570"/>
      <c r="O123" s="570"/>
      <c r="P123" s="570"/>
      <c r="Q123" s="570"/>
      <c r="R123" s="570"/>
      <c r="S123" s="570"/>
      <c r="T123" s="570"/>
      <c r="U123" s="570"/>
      <c r="V123" s="665"/>
      <c r="W123" s="665"/>
      <c r="X123" s="665"/>
      <c r="Y123" s="665"/>
      <c r="Z123" s="570"/>
      <c r="AA123" s="570"/>
      <c r="AB123" s="570"/>
      <c r="AC123" s="570"/>
      <c r="AD123" s="570"/>
      <c r="AE123" s="570"/>
      <c r="AF123" s="570"/>
      <c r="AG123" s="570"/>
      <c r="AH123" s="570"/>
      <c r="AI123" s="570"/>
      <c r="AJ123" s="570"/>
      <c r="AK123" s="570"/>
      <c r="AL123" s="570">
        <v>720</v>
      </c>
      <c r="AM123" s="570">
        <v>720</v>
      </c>
      <c r="AN123" s="570">
        <v>720</v>
      </c>
      <c r="AO123" s="570">
        <v>720</v>
      </c>
      <c r="AP123" s="570">
        <v>720</v>
      </c>
      <c r="AQ123" s="570">
        <v>720</v>
      </c>
      <c r="AR123" s="576" t="s">
        <v>1901</v>
      </c>
      <c r="AS123" s="556" t="s">
        <v>616</v>
      </c>
      <c r="AT123" s="556" t="s">
        <v>616</v>
      </c>
      <c r="AU123" s="556" t="s">
        <v>2518</v>
      </c>
      <c r="AV123" s="556" t="s">
        <v>1660</v>
      </c>
      <c r="AW123" s="556" t="s">
        <v>1901</v>
      </c>
      <c r="AX123" s="556" t="s">
        <v>3513</v>
      </c>
      <c r="AY123" s="581">
        <v>46289</v>
      </c>
      <c r="AZ123" s="578"/>
      <c r="BA123" s="568"/>
      <c r="BB123" s="568"/>
      <c r="BC123" s="579" t="s">
        <v>3648</v>
      </c>
      <c r="BD123" s="663" t="s">
        <v>3305</v>
      </c>
      <c r="BF123" s="521">
        <f t="shared" si="15"/>
        <v>2160</v>
      </c>
    </row>
    <row r="124" s="521" customFormat="1" ht="35.25" hidden="1" customHeight="1" spans="1:58">
      <c r="A124" s="666">
        <f t="shared" si="16"/>
        <v>120</v>
      </c>
      <c r="B124" s="667" t="s">
        <v>209</v>
      </c>
      <c r="C124" s="668" t="s">
        <v>2947</v>
      </c>
      <c r="D124" s="669" t="s">
        <v>3649</v>
      </c>
      <c r="E124" s="669" t="s">
        <v>3628</v>
      </c>
      <c r="F124" s="670">
        <v>46188</v>
      </c>
      <c r="G124" s="670">
        <v>46289</v>
      </c>
      <c r="H124" s="670">
        <v>46289</v>
      </c>
      <c r="I124" s="671"/>
      <c r="J124" s="672">
        <f t="shared" si="14"/>
        <v>0</v>
      </c>
      <c r="K124" s="673">
        <v>24</v>
      </c>
      <c r="L124" s="674"/>
      <c r="M124" s="674"/>
      <c r="N124" s="674"/>
      <c r="O124" s="674"/>
      <c r="P124" s="674"/>
      <c r="Q124" s="674"/>
      <c r="R124" s="674"/>
      <c r="S124" s="674"/>
      <c r="T124" s="674"/>
      <c r="U124" s="674"/>
      <c r="V124" s="674"/>
      <c r="W124" s="674"/>
      <c r="X124" s="674"/>
      <c r="Y124" s="674"/>
      <c r="Z124" s="674"/>
      <c r="AA124" s="674"/>
      <c r="AB124" s="674"/>
      <c r="AC124" s="674"/>
      <c r="AD124" s="674"/>
      <c r="AE124" s="674"/>
      <c r="AF124" s="674"/>
      <c r="AG124" s="674"/>
      <c r="AH124" s="674"/>
      <c r="AI124" s="674"/>
      <c r="AJ124" s="674"/>
      <c r="AK124" s="674"/>
      <c r="AL124" s="674"/>
      <c r="AM124" s="674"/>
      <c r="AN124" s="674"/>
      <c r="AO124" s="674"/>
      <c r="AP124" s="674"/>
      <c r="AQ124" s="674"/>
      <c r="AR124" s="675"/>
      <c r="AS124" s="675"/>
      <c r="AT124" s="675"/>
      <c r="AU124" s="675"/>
      <c r="AV124" s="675"/>
      <c r="AW124" s="675"/>
      <c r="AX124" s="675" t="s">
        <v>3513</v>
      </c>
      <c r="AY124" s="676">
        <v>46289</v>
      </c>
      <c r="AZ124" s="677"/>
      <c r="BA124" s="678"/>
      <c r="BB124" s="678" t="s">
        <v>3629</v>
      </c>
      <c r="BC124" s="679"/>
      <c r="BD124" s="663" t="s">
        <v>3305</v>
      </c>
    </row>
    <row r="125" s="521" customFormat="1" ht="35.25" hidden="1" customHeight="1" spans="1:58">
      <c r="A125" s="666">
        <f t="shared" si="16"/>
        <v>121</v>
      </c>
      <c r="B125" s="667" t="s">
        <v>209</v>
      </c>
      <c r="C125" s="668" t="s">
        <v>2947</v>
      </c>
      <c r="D125" s="669" t="s">
        <v>3650</v>
      </c>
      <c r="E125" s="669" t="s">
        <v>3628</v>
      </c>
      <c r="F125" s="670">
        <v>46188</v>
      </c>
      <c r="G125" s="670">
        <v>46289</v>
      </c>
      <c r="H125" s="670">
        <v>46289</v>
      </c>
      <c r="I125" s="671"/>
      <c r="J125" s="672">
        <f t="shared" si="14"/>
        <v>0</v>
      </c>
      <c r="K125" s="673">
        <v>24</v>
      </c>
      <c r="L125" s="674"/>
      <c r="M125" s="674"/>
      <c r="N125" s="674"/>
      <c r="O125" s="674"/>
      <c r="P125" s="674"/>
      <c r="Q125" s="674"/>
      <c r="R125" s="674"/>
      <c r="S125" s="674"/>
      <c r="T125" s="674"/>
      <c r="U125" s="674"/>
      <c r="V125" s="674"/>
      <c r="W125" s="674"/>
      <c r="X125" s="674"/>
      <c r="Y125" s="674"/>
      <c r="Z125" s="674"/>
      <c r="AA125" s="674"/>
      <c r="AB125" s="674"/>
      <c r="AC125" s="674"/>
      <c r="AD125" s="674"/>
      <c r="AE125" s="674"/>
      <c r="AF125" s="674"/>
      <c r="AG125" s="674"/>
      <c r="AH125" s="674"/>
      <c r="AI125" s="674"/>
      <c r="AJ125" s="674"/>
      <c r="AK125" s="674"/>
      <c r="AL125" s="674"/>
      <c r="AM125" s="674"/>
      <c r="AN125" s="674"/>
      <c r="AO125" s="674"/>
      <c r="AP125" s="674"/>
      <c r="AQ125" s="674"/>
      <c r="AR125" s="675"/>
      <c r="AS125" s="675"/>
      <c r="AT125" s="675"/>
      <c r="AU125" s="675"/>
      <c r="AV125" s="675"/>
      <c r="AW125" s="675"/>
      <c r="AX125" s="675" t="s">
        <v>3513</v>
      </c>
      <c r="AY125" s="676">
        <v>46289</v>
      </c>
      <c r="AZ125" s="677"/>
      <c r="BA125" s="678"/>
      <c r="BB125" s="678" t="s">
        <v>3629</v>
      </c>
      <c r="BC125" s="679"/>
      <c r="BD125" s="663" t="s">
        <v>3305</v>
      </c>
    </row>
    <row r="126" s="521" customFormat="1" ht="35.25" hidden="1" customHeight="1" spans="1:58">
      <c r="A126" s="666">
        <f t="shared" si="16"/>
        <v>122</v>
      </c>
      <c r="B126" s="667" t="s">
        <v>209</v>
      </c>
      <c r="C126" s="668" t="s">
        <v>2947</v>
      </c>
      <c r="D126" s="669" t="s">
        <v>3651</v>
      </c>
      <c r="E126" s="669" t="s">
        <v>3628</v>
      </c>
      <c r="F126" s="670">
        <v>46188</v>
      </c>
      <c r="G126" s="670">
        <v>46289</v>
      </c>
      <c r="H126" s="670">
        <v>46289</v>
      </c>
      <c r="I126" s="671"/>
      <c r="J126" s="672">
        <f t="shared" si="14"/>
        <v>0</v>
      </c>
      <c r="K126" s="673">
        <v>24</v>
      </c>
      <c r="L126" s="674"/>
      <c r="M126" s="674"/>
      <c r="N126" s="674"/>
      <c r="O126" s="674"/>
      <c r="P126" s="674"/>
      <c r="Q126" s="674"/>
      <c r="R126" s="674"/>
      <c r="S126" s="674"/>
      <c r="T126" s="674"/>
      <c r="U126" s="674"/>
      <c r="V126" s="674"/>
      <c r="W126" s="674"/>
      <c r="X126" s="674"/>
      <c r="Y126" s="674"/>
      <c r="Z126" s="674"/>
      <c r="AA126" s="674"/>
      <c r="AB126" s="674"/>
      <c r="AC126" s="674"/>
      <c r="AD126" s="674"/>
      <c r="AE126" s="674"/>
      <c r="AF126" s="674"/>
      <c r="AG126" s="674"/>
      <c r="AH126" s="674"/>
      <c r="AI126" s="674"/>
      <c r="AJ126" s="674"/>
      <c r="AK126" s="674"/>
      <c r="AL126" s="674"/>
      <c r="AM126" s="674"/>
      <c r="AN126" s="674"/>
      <c r="AO126" s="674"/>
      <c r="AP126" s="674"/>
      <c r="AQ126" s="674"/>
      <c r="AR126" s="675"/>
      <c r="AS126" s="675"/>
      <c r="AT126" s="675"/>
      <c r="AU126" s="675"/>
      <c r="AV126" s="675"/>
      <c r="AW126" s="675"/>
      <c r="AX126" s="675" t="s">
        <v>3513</v>
      </c>
      <c r="AY126" s="676">
        <v>46289</v>
      </c>
      <c r="AZ126" s="677"/>
      <c r="BA126" s="678"/>
      <c r="BB126" s="678" t="s">
        <v>3629</v>
      </c>
      <c r="BC126" s="679"/>
      <c r="BD126" s="663" t="s">
        <v>3305</v>
      </c>
    </row>
    <row r="127" s="521" customFormat="1" ht="35.25" hidden="1" customHeight="1" spans="1:58">
      <c r="A127" s="666">
        <f t="shared" si="16"/>
        <v>123</v>
      </c>
      <c r="B127" s="667" t="s">
        <v>209</v>
      </c>
      <c r="C127" s="668" t="s">
        <v>2947</v>
      </c>
      <c r="D127" s="669" t="s">
        <v>3652</v>
      </c>
      <c r="E127" s="669" t="s">
        <v>3628</v>
      </c>
      <c r="F127" s="670">
        <v>46188</v>
      </c>
      <c r="G127" s="670">
        <v>46289</v>
      </c>
      <c r="H127" s="670">
        <v>46289</v>
      </c>
      <c r="I127" s="671"/>
      <c r="J127" s="672">
        <f t="shared" si="14"/>
        <v>0</v>
      </c>
      <c r="K127" s="673">
        <v>24</v>
      </c>
      <c r="L127" s="674"/>
      <c r="M127" s="674"/>
      <c r="N127" s="674"/>
      <c r="O127" s="674"/>
      <c r="P127" s="674"/>
      <c r="Q127" s="674"/>
      <c r="R127" s="674"/>
      <c r="S127" s="674"/>
      <c r="T127" s="674"/>
      <c r="U127" s="674"/>
      <c r="V127" s="674"/>
      <c r="W127" s="674"/>
      <c r="X127" s="674"/>
      <c r="Y127" s="674"/>
      <c r="Z127" s="674"/>
      <c r="AA127" s="674"/>
      <c r="AB127" s="674"/>
      <c r="AC127" s="674"/>
      <c r="AD127" s="674"/>
      <c r="AE127" s="674"/>
      <c r="AF127" s="674"/>
      <c r="AG127" s="674"/>
      <c r="AH127" s="674"/>
      <c r="AI127" s="674"/>
      <c r="AJ127" s="674"/>
      <c r="AK127" s="674"/>
      <c r="AL127" s="674"/>
      <c r="AM127" s="674"/>
      <c r="AN127" s="674"/>
      <c r="AO127" s="674"/>
      <c r="AP127" s="674"/>
      <c r="AQ127" s="674"/>
      <c r="AR127" s="675"/>
      <c r="AS127" s="675"/>
      <c r="AT127" s="675"/>
      <c r="AU127" s="675"/>
      <c r="AV127" s="675"/>
      <c r="AW127" s="675"/>
      <c r="AX127" s="675" t="s">
        <v>3513</v>
      </c>
      <c r="AY127" s="676">
        <v>46289</v>
      </c>
      <c r="AZ127" s="677"/>
      <c r="BA127" s="678"/>
      <c r="BB127" s="678" t="s">
        <v>3629</v>
      </c>
      <c r="BC127" s="679"/>
      <c r="BD127" s="663" t="s">
        <v>3305</v>
      </c>
    </row>
    <row r="128" s="521" customFormat="1" ht="35.25" hidden="1" customHeight="1" spans="1:58">
      <c r="A128" s="666">
        <f t="shared" si="16"/>
        <v>124</v>
      </c>
      <c r="B128" s="667" t="s">
        <v>209</v>
      </c>
      <c r="C128" s="668" t="s">
        <v>2947</v>
      </c>
      <c r="D128" s="669" t="s">
        <v>3653</v>
      </c>
      <c r="E128" s="669" t="s">
        <v>3628</v>
      </c>
      <c r="F128" s="670">
        <v>46188</v>
      </c>
      <c r="G128" s="670">
        <v>46289</v>
      </c>
      <c r="H128" s="670">
        <v>46289</v>
      </c>
      <c r="I128" s="671"/>
      <c r="J128" s="672">
        <f t="shared" si="14"/>
        <v>0</v>
      </c>
      <c r="K128" s="673">
        <v>24</v>
      </c>
      <c r="L128" s="674"/>
      <c r="M128" s="674"/>
      <c r="N128" s="674"/>
      <c r="O128" s="674"/>
      <c r="P128" s="674"/>
      <c r="Q128" s="674"/>
      <c r="R128" s="674"/>
      <c r="S128" s="674"/>
      <c r="T128" s="674"/>
      <c r="U128" s="674"/>
      <c r="V128" s="674"/>
      <c r="W128" s="674"/>
      <c r="X128" s="674"/>
      <c r="Y128" s="674"/>
      <c r="Z128" s="674"/>
      <c r="AA128" s="674"/>
      <c r="AB128" s="674"/>
      <c r="AC128" s="674"/>
      <c r="AD128" s="674"/>
      <c r="AE128" s="674"/>
      <c r="AF128" s="674"/>
      <c r="AG128" s="674"/>
      <c r="AH128" s="674"/>
      <c r="AI128" s="674"/>
      <c r="AJ128" s="674"/>
      <c r="AK128" s="674"/>
      <c r="AL128" s="674"/>
      <c r="AM128" s="674"/>
      <c r="AN128" s="674"/>
      <c r="AO128" s="674"/>
      <c r="AP128" s="674"/>
      <c r="AQ128" s="674"/>
      <c r="AR128" s="675"/>
      <c r="AS128" s="675"/>
      <c r="AT128" s="675"/>
      <c r="AU128" s="675"/>
      <c r="AV128" s="675"/>
      <c r="AW128" s="675"/>
      <c r="AX128" s="675" t="s">
        <v>3513</v>
      </c>
      <c r="AY128" s="676">
        <v>46289</v>
      </c>
      <c r="AZ128" s="677"/>
      <c r="BA128" s="678"/>
      <c r="BB128" s="678" t="s">
        <v>3629</v>
      </c>
      <c r="BC128" s="679"/>
      <c r="BD128" s="663" t="s">
        <v>3305</v>
      </c>
    </row>
    <row r="129" s="521" customFormat="1" ht="36" customHeight="1" spans="1:58">
      <c r="A129" s="555">
        <f t="shared" si="16"/>
        <v>125</v>
      </c>
      <c r="B129" s="183" t="s">
        <v>3350</v>
      </c>
      <c r="C129" s="96" t="s">
        <v>101</v>
      </c>
      <c r="D129" s="293" t="s">
        <v>3654</v>
      </c>
      <c r="E129" s="293" t="s">
        <v>3655</v>
      </c>
      <c r="F129" s="82">
        <v>46213</v>
      </c>
      <c r="G129" s="82">
        <v>46307</v>
      </c>
      <c r="H129" s="82">
        <v>46307</v>
      </c>
      <c r="I129" s="562">
        <v>46226</v>
      </c>
      <c r="J129" s="563">
        <f t="shared" si="14"/>
        <v>60000</v>
      </c>
      <c r="K129" s="564">
        <v>48</v>
      </c>
      <c r="L129" s="570"/>
      <c r="M129" s="570"/>
      <c r="N129" s="570"/>
      <c r="O129" s="570"/>
      <c r="P129" s="570"/>
      <c r="Q129" s="570"/>
      <c r="R129" s="570">
        <v>7500</v>
      </c>
      <c r="S129" s="570">
        <v>7500</v>
      </c>
      <c r="T129" s="570">
        <v>7500</v>
      </c>
      <c r="U129" s="570">
        <v>7500</v>
      </c>
      <c r="V129" s="665">
        <v>15000</v>
      </c>
      <c r="W129" s="665">
        <v>15000</v>
      </c>
      <c r="X129" s="665"/>
      <c r="Y129" s="665"/>
      <c r="Z129" s="570"/>
      <c r="AA129" s="570"/>
      <c r="AB129" s="570"/>
      <c r="AC129" s="570"/>
      <c r="AD129" s="570"/>
      <c r="AE129" s="570"/>
      <c r="AF129" s="570"/>
      <c r="AG129" s="570"/>
      <c r="AH129" s="570"/>
      <c r="AI129" s="570"/>
      <c r="AJ129" s="570"/>
      <c r="AK129" s="570"/>
      <c r="AL129" s="570"/>
      <c r="AM129" s="570"/>
      <c r="AN129" s="570"/>
      <c r="AO129" s="570"/>
      <c r="AP129" s="570"/>
      <c r="AQ129" s="570"/>
      <c r="AR129" s="576" t="s">
        <v>3656</v>
      </c>
      <c r="AS129" s="556" t="s">
        <v>3657</v>
      </c>
      <c r="AT129" s="556" t="s">
        <v>84</v>
      </c>
      <c r="AU129" s="556" t="s">
        <v>315</v>
      </c>
      <c r="AV129" s="556" t="s">
        <v>3658</v>
      </c>
      <c r="AW129" s="556" t="s">
        <v>1901</v>
      </c>
      <c r="AX129" s="556" t="s">
        <v>3659</v>
      </c>
      <c r="AY129" s="581">
        <v>46307</v>
      </c>
      <c r="AZ129" s="578" t="s">
        <v>3660</v>
      </c>
      <c r="BA129" s="568"/>
      <c r="BB129" s="568"/>
      <c r="BC129" s="579" t="s">
        <v>3661</v>
      </c>
      <c r="BD129" s="660" t="s">
        <v>3662</v>
      </c>
      <c r="BF129" s="521">
        <f t="shared" ref="BF129:BF142" si="17">J129/2</f>
        <v>30000</v>
      </c>
    </row>
    <row r="130" s="521" customFormat="1" ht="29.1" customHeight="1" spans="1:58">
      <c r="A130" s="555">
        <f t="shared" si="16"/>
        <v>126</v>
      </c>
      <c r="B130" s="487" t="s">
        <v>209</v>
      </c>
      <c r="C130" s="146" t="s">
        <v>2947</v>
      </c>
      <c r="D130" s="573" t="s">
        <v>3663</v>
      </c>
      <c r="E130" s="573" t="s">
        <v>3664</v>
      </c>
      <c r="F130" s="635">
        <v>46238</v>
      </c>
      <c r="G130" s="635">
        <v>46318</v>
      </c>
      <c r="H130" s="635">
        <v>46318</v>
      </c>
      <c r="I130" s="636">
        <v>46261</v>
      </c>
      <c r="J130" s="637">
        <f t="shared" si="14"/>
        <v>15120</v>
      </c>
      <c r="K130" s="638">
        <v>24</v>
      </c>
      <c r="L130" s="570"/>
      <c r="M130" s="570"/>
      <c r="N130" s="570"/>
      <c r="O130" s="570"/>
      <c r="P130" s="570"/>
      <c r="Q130" s="570"/>
      <c r="R130" s="570"/>
      <c r="S130" s="570"/>
      <c r="T130" s="570"/>
      <c r="U130" s="570"/>
      <c r="V130" s="665"/>
      <c r="W130" s="665"/>
      <c r="X130" s="665"/>
      <c r="Y130" s="665"/>
      <c r="Z130" s="570"/>
      <c r="AA130" s="570"/>
      <c r="AB130" s="570"/>
      <c r="AC130" s="570"/>
      <c r="AD130" s="570"/>
      <c r="AE130" s="570"/>
      <c r="AF130" s="570"/>
      <c r="AG130" s="570"/>
      <c r="AH130" s="570"/>
      <c r="AI130" s="570"/>
      <c r="AJ130" s="570"/>
      <c r="AK130" s="570"/>
      <c r="AL130" s="570">
        <v>2520</v>
      </c>
      <c r="AM130" s="570">
        <v>2520</v>
      </c>
      <c r="AN130" s="570">
        <v>2520</v>
      </c>
      <c r="AO130" s="570">
        <v>2520</v>
      </c>
      <c r="AP130" s="570">
        <v>2520</v>
      </c>
      <c r="AQ130" s="570">
        <v>2520</v>
      </c>
      <c r="AR130" s="576" t="s">
        <v>3665</v>
      </c>
      <c r="AS130" s="556" t="s">
        <v>786</v>
      </c>
      <c r="AT130" s="556" t="s">
        <v>786</v>
      </c>
      <c r="AU130" s="556" t="s">
        <v>3666</v>
      </c>
      <c r="AV130" s="556" t="s">
        <v>3667</v>
      </c>
      <c r="AW130" s="556" t="s">
        <v>3665</v>
      </c>
      <c r="AX130" s="556" t="s">
        <v>3312</v>
      </c>
      <c r="AY130" s="581">
        <v>46318</v>
      </c>
      <c r="AZ130" s="578"/>
      <c r="BA130" s="568"/>
      <c r="BB130" s="568"/>
      <c r="BC130" s="579" t="s">
        <v>3668</v>
      </c>
      <c r="BD130" s="660" t="s">
        <v>3339</v>
      </c>
      <c r="BF130" s="521">
        <f t="shared" si="17"/>
        <v>7560</v>
      </c>
    </row>
    <row r="131" s="521" customFormat="1" ht="29.1" customHeight="1" spans="1:58">
      <c r="A131" s="555">
        <f t="shared" si="16"/>
        <v>127</v>
      </c>
      <c r="B131" s="487" t="s">
        <v>209</v>
      </c>
      <c r="C131" s="146" t="s">
        <v>2947</v>
      </c>
      <c r="D131" s="573" t="s">
        <v>3669</v>
      </c>
      <c r="E131" s="573" t="s">
        <v>3670</v>
      </c>
      <c r="F131" s="635">
        <v>46238</v>
      </c>
      <c r="G131" s="635">
        <v>46318</v>
      </c>
      <c r="H131" s="635">
        <v>46318</v>
      </c>
      <c r="I131" s="636">
        <v>46261</v>
      </c>
      <c r="J131" s="637">
        <f t="shared" si="14"/>
        <v>23760</v>
      </c>
      <c r="K131" s="638">
        <v>24</v>
      </c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665"/>
      <c r="W131" s="665"/>
      <c r="X131" s="665"/>
      <c r="Y131" s="665"/>
      <c r="Z131" s="570"/>
      <c r="AA131" s="570"/>
      <c r="AB131" s="570"/>
      <c r="AC131" s="570"/>
      <c r="AD131" s="570"/>
      <c r="AE131" s="570"/>
      <c r="AF131" s="570"/>
      <c r="AG131" s="570"/>
      <c r="AH131" s="570"/>
      <c r="AI131" s="570"/>
      <c r="AJ131" s="570"/>
      <c r="AK131" s="570"/>
      <c r="AL131" s="570">
        <v>3960</v>
      </c>
      <c r="AM131" s="570">
        <v>3960</v>
      </c>
      <c r="AN131" s="570">
        <v>3960</v>
      </c>
      <c r="AO131" s="570">
        <v>3960</v>
      </c>
      <c r="AP131" s="570">
        <v>3960</v>
      </c>
      <c r="AQ131" s="570">
        <v>3960</v>
      </c>
      <c r="AR131" s="576" t="s">
        <v>3665</v>
      </c>
      <c r="AS131" s="556" t="s">
        <v>786</v>
      </c>
      <c r="AT131" s="556" t="s">
        <v>786</v>
      </c>
      <c r="AU131" s="556" t="s">
        <v>3666</v>
      </c>
      <c r="AV131" s="556" t="s">
        <v>3667</v>
      </c>
      <c r="AW131" s="556" t="s">
        <v>3665</v>
      </c>
      <c r="AX131" s="556" t="s">
        <v>3312</v>
      </c>
      <c r="AY131" s="581">
        <v>46318</v>
      </c>
      <c r="AZ131" s="578"/>
      <c r="BA131" s="568"/>
      <c r="BB131" s="568"/>
      <c r="BC131" s="579" t="s">
        <v>3671</v>
      </c>
      <c r="BD131" s="660" t="s">
        <v>3339</v>
      </c>
      <c r="BF131" s="521">
        <f t="shared" si="17"/>
        <v>11880</v>
      </c>
    </row>
    <row r="132" s="521" customFormat="1" ht="29.1" customHeight="1" spans="1:58">
      <c r="A132" s="555">
        <f t="shared" si="16"/>
        <v>128</v>
      </c>
      <c r="B132" s="487" t="s">
        <v>209</v>
      </c>
      <c r="C132" s="146" t="s">
        <v>2947</v>
      </c>
      <c r="D132" s="573" t="s">
        <v>3672</v>
      </c>
      <c r="E132" s="573" t="s">
        <v>3673</v>
      </c>
      <c r="F132" s="635">
        <v>46238</v>
      </c>
      <c r="G132" s="635">
        <v>46318</v>
      </c>
      <c r="H132" s="635">
        <v>46318</v>
      </c>
      <c r="I132" s="636">
        <v>46261</v>
      </c>
      <c r="J132" s="637">
        <f t="shared" si="14"/>
        <v>15120</v>
      </c>
      <c r="K132" s="638">
        <v>24</v>
      </c>
      <c r="L132" s="570"/>
      <c r="M132" s="570"/>
      <c r="N132" s="570"/>
      <c r="O132" s="570"/>
      <c r="P132" s="570"/>
      <c r="Q132" s="570"/>
      <c r="R132" s="570"/>
      <c r="S132" s="570"/>
      <c r="T132" s="570"/>
      <c r="U132" s="570"/>
      <c r="V132" s="665"/>
      <c r="W132" s="665"/>
      <c r="X132" s="665"/>
      <c r="Y132" s="665"/>
      <c r="Z132" s="570"/>
      <c r="AA132" s="570"/>
      <c r="AB132" s="570"/>
      <c r="AC132" s="570"/>
      <c r="AD132" s="570"/>
      <c r="AE132" s="570"/>
      <c r="AF132" s="570"/>
      <c r="AG132" s="570"/>
      <c r="AH132" s="570"/>
      <c r="AI132" s="570"/>
      <c r="AJ132" s="570"/>
      <c r="AK132" s="570"/>
      <c r="AL132" s="570">
        <v>2520</v>
      </c>
      <c r="AM132" s="570">
        <v>2520</v>
      </c>
      <c r="AN132" s="570">
        <v>2520</v>
      </c>
      <c r="AO132" s="570">
        <v>2520</v>
      </c>
      <c r="AP132" s="570">
        <v>2520</v>
      </c>
      <c r="AQ132" s="570">
        <v>2520</v>
      </c>
      <c r="AR132" s="576" t="s">
        <v>3665</v>
      </c>
      <c r="AS132" s="556" t="s">
        <v>786</v>
      </c>
      <c r="AT132" s="556" t="s">
        <v>786</v>
      </c>
      <c r="AU132" s="556" t="s">
        <v>3666</v>
      </c>
      <c r="AV132" s="556" t="s">
        <v>3667</v>
      </c>
      <c r="AW132" s="556" t="s">
        <v>3665</v>
      </c>
      <c r="AX132" s="556" t="s">
        <v>3312</v>
      </c>
      <c r="AY132" s="581">
        <v>46318</v>
      </c>
      <c r="AZ132" s="578"/>
      <c r="BA132" s="568"/>
      <c r="BB132" s="568"/>
      <c r="BC132" s="579" t="s">
        <v>3674</v>
      </c>
      <c r="BD132" s="660" t="s">
        <v>3339</v>
      </c>
      <c r="BF132" s="521">
        <f t="shared" si="17"/>
        <v>7560</v>
      </c>
    </row>
    <row r="133" s="521" customFormat="1" ht="29.1" customHeight="1" spans="1:58">
      <c r="A133" s="555">
        <f t="shared" si="16"/>
        <v>129</v>
      </c>
      <c r="B133" s="487" t="s">
        <v>209</v>
      </c>
      <c r="C133" s="146" t="s">
        <v>2947</v>
      </c>
      <c r="D133" s="573" t="s">
        <v>3675</v>
      </c>
      <c r="E133" s="573" t="s">
        <v>3676</v>
      </c>
      <c r="F133" s="635">
        <v>46238</v>
      </c>
      <c r="G133" s="635">
        <v>46318</v>
      </c>
      <c r="H133" s="635">
        <v>46318</v>
      </c>
      <c r="I133" s="636">
        <v>46261</v>
      </c>
      <c r="J133" s="637">
        <f t="shared" si="14"/>
        <v>23760</v>
      </c>
      <c r="K133" s="638">
        <v>24</v>
      </c>
      <c r="L133" s="570"/>
      <c r="M133" s="570"/>
      <c r="N133" s="570"/>
      <c r="O133" s="570"/>
      <c r="P133" s="570"/>
      <c r="Q133" s="570"/>
      <c r="R133" s="570"/>
      <c r="S133" s="570"/>
      <c r="T133" s="570"/>
      <c r="U133" s="570"/>
      <c r="V133" s="665"/>
      <c r="W133" s="665"/>
      <c r="X133" s="665"/>
      <c r="Y133" s="665"/>
      <c r="Z133" s="570"/>
      <c r="AA133" s="570"/>
      <c r="AB133" s="570"/>
      <c r="AC133" s="570"/>
      <c r="AD133" s="570"/>
      <c r="AE133" s="570"/>
      <c r="AF133" s="570"/>
      <c r="AG133" s="570"/>
      <c r="AH133" s="570"/>
      <c r="AI133" s="570"/>
      <c r="AJ133" s="570"/>
      <c r="AK133" s="570"/>
      <c r="AL133" s="570">
        <v>3960</v>
      </c>
      <c r="AM133" s="570">
        <v>3960</v>
      </c>
      <c r="AN133" s="570">
        <v>3960</v>
      </c>
      <c r="AO133" s="570">
        <v>3960</v>
      </c>
      <c r="AP133" s="570">
        <v>3960</v>
      </c>
      <c r="AQ133" s="570">
        <v>3960</v>
      </c>
      <c r="AR133" s="576" t="s">
        <v>3665</v>
      </c>
      <c r="AS133" s="556" t="s">
        <v>786</v>
      </c>
      <c r="AT133" s="556" t="s">
        <v>786</v>
      </c>
      <c r="AU133" s="556" t="s">
        <v>3666</v>
      </c>
      <c r="AV133" s="556" t="s">
        <v>3667</v>
      </c>
      <c r="AW133" s="556" t="s">
        <v>3665</v>
      </c>
      <c r="AX133" s="556" t="s">
        <v>3312</v>
      </c>
      <c r="AY133" s="581">
        <v>46318</v>
      </c>
      <c r="AZ133" s="578"/>
      <c r="BA133" s="568"/>
      <c r="BB133" s="568"/>
      <c r="BC133" s="579" t="s">
        <v>3677</v>
      </c>
      <c r="BD133" s="660" t="s">
        <v>3339</v>
      </c>
      <c r="BF133" s="521">
        <f t="shared" si="17"/>
        <v>11880</v>
      </c>
    </row>
    <row r="134" s="521" customFormat="1" ht="29.1" customHeight="1" spans="1:58">
      <c r="A134" s="555">
        <f t="shared" si="16"/>
        <v>130</v>
      </c>
      <c r="B134" s="487" t="s">
        <v>209</v>
      </c>
      <c r="C134" s="146" t="s">
        <v>2947</v>
      </c>
      <c r="D134" s="573" t="s">
        <v>3678</v>
      </c>
      <c r="E134" s="573" t="s">
        <v>3679</v>
      </c>
      <c r="F134" s="635">
        <v>46238</v>
      </c>
      <c r="G134" s="635">
        <v>46318</v>
      </c>
      <c r="H134" s="635">
        <v>46318</v>
      </c>
      <c r="I134" s="636">
        <v>46261</v>
      </c>
      <c r="J134" s="637">
        <f t="shared" si="14"/>
        <v>21600</v>
      </c>
      <c r="K134" s="638">
        <v>24</v>
      </c>
      <c r="L134" s="570"/>
      <c r="M134" s="570"/>
      <c r="N134" s="570"/>
      <c r="O134" s="570"/>
      <c r="P134" s="570"/>
      <c r="Q134" s="570"/>
      <c r="R134" s="570"/>
      <c r="S134" s="570"/>
      <c r="T134" s="570"/>
      <c r="U134" s="570"/>
      <c r="V134" s="665"/>
      <c r="W134" s="665"/>
      <c r="X134" s="665"/>
      <c r="Y134" s="665"/>
      <c r="Z134" s="570"/>
      <c r="AA134" s="570"/>
      <c r="AB134" s="570"/>
      <c r="AC134" s="570"/>
      <c r="AD134" s="570"/>
      <c r="AE134" s="570"/>
      <c r="AF134" s="570"/>
      <c r="AG134" s="570"/>
      <c r="AH134" s="570"/>
      <c r="AI134" s="570"/>
      <c r="AJ134" s="570"/>
      <c r="AK134" s="570"/>
      <c r="AL134" s="570">
        <v>3600</v>
      </c>
      <c r="AM134" s="570">
        <v>3600</v>
      </c>
      <c r="AN134" s="570">
        <v>3600</v>
      </c>
      <c r="AO134" s="570">
        <v>3600</v>
      </c>
      <c r="AP134" s="570">
        <v>3600</v>
      </c>
      <c r="AQ134" s="570">
        <v>3600</v>
      </c>
      <c r="AR134" s="576" t="s">
        <v>3665</v>
      </c>
      <c r="AS134" s="556" t="s">
        <v>786</v>
      </c>
      <c r="AT134" s="556" t="s">
        <v>786</v>
      </c>
      <c r="AU134" s="556" t="s">
        <v>3666</v>
      </c>
      <c r="AV134" s="556" t="s">
        <v>3667</v>
      </c>
      <c r="AW134" s="556" t="s">
        <v>3665</v>
      </c>
      <c r="AX134" s="556" t="s">
        <v>3312</v>
      </c>
      <c r="AY134" s="581">
        <v>46318</v>
      </c>
      <c r="AZ134" s="578"/>
      <c r="BA134" s="568"/>
      <c r="BB134" s="568"/>
      <c r="BC134" s="579" t="s">
        <v>3680</v>
      </c>
      <c r="BD134" s="660" t="s">
        <v>3339</v>
      </c>
      <c r="BF134" s="521">
        <f t="shared" si="17"/>
        <v>10800</v>
      </c>
    </row>
    <row r="135" s="521" customFormat="1" ht="29.1" customHeight="1" spans="1:58">
      <c r="A135" s="555">
        <f t="shared" si="16"/>
        <v>131</v>
      </c>
      <c r="B135" s="487" t="s">
        <v>209</v>
      </c>
      <c r="C135" s="146" t="s">
        <v>2947</v>
      </c>
      <c r="D135" s="573" t="s">
        <v>3681</v>
      </c>
      <c r="E135" s="573" t="s">
        <v>3682</v>
      </c>
      <c r="F135" s="635">
        <v>46238</v>
      </c>
      <c r="G135" s="635">
        <v>46318</v>
      </c>
      <c r="H135" s="635">
        <v>46318</v>
      </c>
      <c r="I135" s="636">
        <v>46261</v>
      </c>
      <c r="J135" s="637">
        <f t="shared" si="14"/>
        <v>23760</v>
      </c>
      <c r="K135" s="638">
        <v>24</v>
      </c>
      <c r="L135" s="570"/>
      <c r="M135" s="570"/>
      <c r="N135" s="570"/>
      <c r="O135" s="570"/>
      <c r="P135" s="570"/>
      <c r="Q135" s="570"/>
      <c r="R135" s="570"/>
      <c r="S135" s="570"/>
      <c r="T135" s="570"/>
      <c r="U135" s="570"/>
      <c r="V135" s="665"/>
      <c r="W135" s="665"/>
      <c r="X135" s="665"/>
      <c r="Y135" s="665"/>
      <c r="Z135" s="570"/>
      <c r="AA135" s="570"/>
      <c r="AB135" s="570"/>
      <c r="AC135" s="570"/>
      <c r="AD135" s="570"/>
      <c r="AE135" s="570"/>
      <c r="AF135" s="570"/>
      <c r="AG135" s="570"/>
      <c r="AH135" s="570"/>
      <c r="AI135" s="570"/>
      <c r="AJ135" s="570"/>
      <c r="AK135" s="570"/>
      <c r="AL135" s="570">
        <v>3960</v>
      </c>
      <c r="AM135" s="570">
        <v>3960</v>
      </c>
      <c r="AN135" s="570">
        <v>3960</v>
      </c>
      <c r="AO135" s="570">
        <v>3960</v>
      </c>
      <c r="AP135" s="570">
        <v>3960</v>
      </c>
      <c r="AQ135" s="570">
        <v>3960</v>
      </c>
      <c r="AR135" s="576" t="s">
        <v>3665</v>
      </c>
      <c r="AS135" s="556" t="s">
        <v>786</v>
      </c>
      <c r="AT135" s="556" t="s">
        <v>786</v>
      </c>
      <c r="AU135" s="556" t="s">
        <v>3666</v>
      </c>
      <c r="AV135" s="556" t="s">
        <v>3667</v>
      </c>
      <c r="AW135" s="556" t="s">
        <v>3665</v>
      </c>
      <c r="AX135" s="556" t="s">
        <v>3312</v>
      </c>
      <c r="AY135" s="581">
        <v>46318</v>
      </c>
      <c r="AZ135" s="578"/>
      <c r="BA135" s="568"/>
      <c r="BB135" s="568"/>
      <c r="BC135" s="579" t="s">
        <v>3683</v>
      </c>
      <c r="BD135" s="660" t="s">
        <v>3339</v>
      </c>
      <c r="BF135" s="521">
        <f t="shared" si="17"/>
        <v>11880</v>
      </c>
    </row>
    <row r="136" s="521" customFormat="1" ht="29.1" customHeight="1" spans="1:58">
      <c r="A136" s="555">
        <f t="shared" si="16"/>
        <v>132</v>
      </c>
      <c r="B136" s="487" t="s">
        <v>209</v>
      </c>
      <c r="C136" s="146" t="s">
        <v>2947</v>
      </c>
      <c r="D136" s="573" t="s">
        <v>3684</v>
      </c>
      <c r="E136" s="573" t="s">
        <v>3685</v>
      </c>
      <c r="F136" s="635">
        <v>46255</v>
      </c>
      <c r="G136" s="635">
        <v>46320</v>
      </c>
      <c r="H136" s="635">
        <v>46332</v>
      </c>
      <c r="I136" s="636">
        <v>46262</v>
      </c>
      <c r="J136" s="637">
        <f t="shared" si="14"/>
        <v>4320</v>
      </c>
      <c r="K136" s="638">
        <v>24</v>
      </c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665"/>
      <c r="W136" s="665"/>
      <c r="X136" s="665"/>
      <c r="Y136" s="665"/>
      <c r="Z136" s="570"/>
      <c r="AA136" s="570"/>
      <c r="AB136" s="570"/>
      <c r="AC136" s="570"/>
      <c r="AD136" s="570"/>
      <c r="AE136" s="570"/>
      <c r="AF136" s="570"/>
      <c r="AG136" s="570"/>
      <c r="AH136" s="570"/>
      <c r="AI136" s="570"/>
      <c r="AJ136" s="570"/>
      <c r="AK136" s="570"/>
      <c r="AL136" s="570">
        <v>720</v>
      </c>
      <c r="AM136" s="570">
        <v>720</v>
      </c>
      <c r="AN136" s="570">
        <v>720</v>
      </c>
      <c r="AO136" s="570">
        <v>720</v>
      </c>
      <c r="AP136" s="570">
        <v>720</v>
      </c>
      <c r="AQ136" s="570">
        <v>720</v>
      </c>
      <c r="AR136" s="680" t="s">
        <v>3686</v>
      </c>
      <c r="AS136" s="556"/>
      <c r="AT136" s="556"/>
      <c r="AU136" s="556"/>
      <c r="AV136" s="556"/>
      <c r="AW136" s="571" t="s">
        <v>3686</v>
      </c>
      <c r="AX136" s="556" t="s">
        <v>3312</v>
      </c>
      <c r="AY136" s="581">
        <v>46332</v>
      </c>
      <c r="AZ136" s="578"/>
      <c r="BA136" s="568"/>
      <c r="BB136" s="568"/>
      <c r="BC136" s="579" t="s">
        <v>3687</v>
      </c>
      <c r="BD136" s="660" t="s">
        <v>3339</v>
      </c>
      <c r="BF136" s="521">
        <f t="shared" si="17"/>
        <v>2160</v>
      </c>
    </row>
    <row r="137" s="521" customFormat="1" ht="29.1" customHeight="1" spans="1:58">
      <c r="A137" s="555">
        <f t="shared" si="16"/>
        <v>133</v>
      </c>
      <c r="B137" s="487" t="s">
        <v>209</v>
      </c>
      <c r="C137" s="146" t="s">
        <v>2947</v>
      </c>
      <c r="D137" s="573" t="s">
        <v>3688</v>
      </c>
      <c r="E137" s="573" t="s">
        <v>3689</v>
      </c>
      <c r="F137" s="635">
        <v>46255</v>
      </c>
      <c r="G137" s="635">
        <v>46320</v>
      </c>
      <c r="H137" s="635">
        <v>46332</v>
      </c>
      <c r="I137" s="636">
        <v>46262</v>
      </c>
      <c r="J137" s="637">
        <f t="shared" si="14"/>
        <v>17280</v>
      </c>
      <c r="K137" s="638">
        <v>24</v>
      </c>
      <c r="L137" s="570"/>
      <c r="M137" s="570"/>
      <c r="N137" s="570"/>
      <c r="O137" s="570"/>
      <c r="P137" s="570"/>
      <c r="Q137" s="570"/>
      <c r="R137" s="570"/>
      <c r="S137" s="570"/>
      <c r="T137" s="570"/>
      <c r="U137" s="570"/>
      <c r="V137" s="665"/>
      <c r="W137" s="665"/>
      <c r="X137" s="665"/>
      <c r="Y137" s="665"/>
      <c r="Z137" s="570"/>
      <c r="AA137" s="570"/>
      <c r="AB137" s="570"/>
      <c r="AC137" s="570"/>
      <c r="AD137" s="570"/>
      <c r="AE137" s="570"/>
      <c r="AF137" s="570"/>
      <c r="AG137" s="570"/>
      <c r="AH137" s="570"/>
      <c r="AI137" s="570"/>
      <c r="AJ137" s="570"/>
      <c r="AK137" s="570"/>
      <c r="AL137" s="570">
        <v>2880</v>
      </c>
      <c r="AM137" s="570">
        <v>2880</v>
      </c>
      <c r="AN137" s="570">
        <v>2880</v>
      </c>
      <c r="AO137" s="570">
        <v>2880</v>
      </c>
      <c r="AP137" s="570">
        <v>2880</v>
      </c>
      <c r="AQ137" s="570">
        <v>2880</v>
      </c>
      <c r="AR137" s="576" t="s">
        <v>3686</v>
      </c>
      <c r="AS137" s="556"/>
      <c r="AT137" s="556"/>
      <c r="AU137" s="556"/>
      <c r="AV137" s="556"/>
      <c r="AW137" s="556" t="s">
        <v>3686</v>
      </c>
      <c r="AX137" s="556" t="s">
        <v>3312</v>
      </c>
      <c r="AY137" s="581">
        <v>46332</v>
      </c>
      <c r="AZ137" s="578"/>
      <c r="BA137" s="568"/>
      <c r="BB137" s="568"/>
      <c r="BC137" s="579" t="s">
        <v>3690</v>
      </c>
      <c r="BD137" s="660" t="s">
        <v>3339</v>
      </c>
      <c r="BF137" s="521">
        <f t="shared" si="17"/>
        <v>8640</v>
      </c>
    </row>
    <row r="138" s="521" customFormat="1" ht="29.1" customHeight="1" spans="1:58">
      <c r="A138" s="555">
        <f t="shared" si="16"/>
        <v>134</v>
      </c>
      <c r="B138" s="487" t="s">
        <v>209</v>
      </c>
      <c r="C138" s="146" t="s">
        <v>2947</v>
      </c>
      <c r="D138" s="573" t="s">
        <v>3691</v>
      </c>
      <c r="E138" s="573" t="s">
        <v>3692</v>
      </c>
      <c r="F138" s="635">
        <v>46255</v>
      </c>
      <c r="G138" s="635">
        <v>46320</v>
      </c>
      <c r="H138" s="635">
        <v>46332</v>
      </c>
      <c r="I138" s="636">
        <v>46262</v>
      </c>
      <c r="J138" s="637">
        <f t="shared" si="14"/>
        <v>15120</v>
      </c>
      <c r="K138" s="638">
        <v>24</v>
      </c>
      <c r="L138" s="570"/>
      <c r="M138" s="570"/>
      <c r="N138" s="570"/>
      <c r="O138" s="570"/>
      <c r="P138" s="570"/>
      <c r="Q138" s="570"/>
      <c r="R138" s="570"/>
      <c r="S138" s="570"/>
      <c r="T138" s="570"/>
      <c r="U138" s="570"/>
      <c r="V138" s="665"/>
      <c r="W138" s="665"/>
      <c r="X138" s="665"/>
      <c r="Y138" s="665"/>
      <c r="Z138" s="570"/>
      <c r="AA138" s="570"/>
      <c r="AB138" s="570"/>
      <c r="AC138" s="570"/>
      <c r="AD138" s="570"/>
      <c r="AE138" s="570"/>
      <c r="AF138" s="570"/>
      <c r="AG138" s="570"/>
      <c r="AH138" s="570"/>
      <c r="AI138" s="570"/>
      <c r="AJ138" s="570"/>
      <c r="AK138" s="570"/>
      <c r="AL138" s="570">
        <v>2520</v>
      </c>
      <c r="AM138" s="570">
        <v>2520</v>
      </c>
      <c r="AN138" s="570">
        <v>2520</v>
      </c>
      <c r="AO138" s="570">
        <v>2520</v>
      </c>
      <c r="AP138" s="570">
        <v>2520</v>
      </c>
      <c r="AQ138" s="570">
        <v>2520</v>
      </c>
      <c r="AR138" s="576" t="s">
        <v>3686</v>
      </c>
      <c r="AS138" s="556"/>
      <c r="AT138" s="556"/>
      <c r="AU138" s="556"/>
      <c r="AV138" s="556"/>
      <c r="AW138" s="556" t="s">
        <v>3686</v>
      </c>
      <c r="AX138" s="556" t="s">
        <v>3312</v>
      </c>
      <c r="AY138" s="581">
        <v>46332</v>
      </c>
      <c r="AZ138" s="578"/>
      <c r="BA138" s="568"/>
      <c r="BB138" s="568"/>
      <c r="BC138" s="579" t="s">
        <v>3693</v>
      </c>
      <c r="BD138" s="660" t="s">
        <v>3339</v>
      </c>
      <c r="BF138" s="521">
        <f t="shared" si="17"/>
        <v>7560</v>
      </c>
    </row>
    <row r="139" s="521" customFormat="1" ht="29.1" customHeight="1" spans="1:58">
      <c r="A139" s="555">
        <f t="shared" si="16"/>
        <v>135</v>
      </c>
      <c r="B139" s="487" t="s">
        <v>209</v>
      </c>
      <c r="C139" s="146" t="s">
        <v>2947</v>
      </c>
      <c r="D139" s="573" t="s">
        <v>3694</v>
      </c>
      <c r="E139" s="573" t="s">
        <v>3695</v>
      </c>
      <c r="F139" s="635">
        <v>46255</v>
      </c>
      <c r="G139" s="635">
        <v>46320</v>
      </c>
      <c r="H139" s="635">
        <v>46332</v>
      </c>
      <c r="I139" s="636">
        <v>46262</v>
      </c>
      <c r="J139" s="637">
        <f t="shared" si="14"/>
        <v>12960</v>
      </c>
      <c r="K139" s="638">
        <v>24</v>
      </c>
      <c r="L139" s="570"/>
      <c r="M139" s="570"/>
      <c r="N139" s="570"/>
      <c r="O139" s="570"/>
      <c r="P139" s="570"/>
      <c r="Q139" s="570"/>
      <c r="R139" s="570"/>
      <c r="S139" s="570"/>
      <c r="T139" s="570"/>
      <c r="U139" s="570"/>
      <c r="V139" s="665"/>
      <c r="W139" s="665"/>
      <c r="X139" s="665"/>
      <c r="Y139" s="665"/>
      <c r="Z139" s="570"/>
      <c r="AA139" s="570"/>
      <c r="AB139" s="570"/>
      <c r="AC139" s="570"/>
      <c r="AD139" s="570"/>
      <c r="AE139" s="570"/>
      <c r="AF139" s="570"/>
      <c r="AG139" s="570"/>
      <c r="AH139" s="570"/>
      <c r="AI139" s="570"/>
      <c r="AJ139" s="570"/>
      <c r="AK139" s="570"/>
      <c r="AL139" s="570">
        <v>2160</v>
      </c>
      <c r="AM139" s="570">
        <v>2160</v>
      </c>
      <c r="AN139" s="570">
        <v>2160</v>
      </c>
      <c r="AO139" s="570">
        <v>2160</v>
      </c>
      <c r="AP139" s="570">
        <v>2160</v>
      </c>
      <c r="AQ139" s="570">
        <v>2160</v>
      </c>
      <c r="AR139" s="576" t="s">
        <v>3686</v>
      </c>
      <c r="AS139" s="556"/>
      <c r="AT139" s="556"/>
      <c r="AU139" s="556"/>
      <c r="AV139" s="556"/>
      <c r="AW139" s="556" t="s">
        <v>3686</v>
      </c>
      <c r="AX139" s="556" t="s">
        <v>3312</v>
      </c>
      <c r="AY139" s="581">
        <v>46332</v>
      </c>
      <c r="AZ139" s="578"/>
      <c r="BA139" s="568"/>
      <c r="BB139" s="568"/>
      <c r="BC139" s="579" t="s">
        <v>3696</v>
      </c>
      <c r="BD139" s="660" t="s">
        <v>3339</v>
      </c>
      <c r="BF139" s="521">
        <f t="shared" si="17"/>
        <v>6480</v>
      </c>
    </row>
    <row r="140" s="521" customFormat="1" ht="29.1" customHeight="1" spans="1:58">
      <c r="A140" s="555">
        <f t="shared" si="16"/>
        <v>136</v>
      </c>
      <c r="B140" s="487" t="s">
        <v>209</v>
      </c>
      <c r="C140" s="146" t="s">
        <v>2947</v>
      </c>
      <c r="D140" s="573" t="s">
        <v>3697</v>
      </c>
      <c r="E140" s="573" t="s">
        <v>3698</v>
      </c>
      <c r="F140" s="635">
        <v>46255</v>
      </c>
      <c r="G140" s="635">
        <v>46320</v>
      </c>
      <c r="H140" s="635">
        <v>46332</v>
      </c>
      <c r="I140" s="636">
        <v>46262</v>
      </c>
      <c r="J140" s="637">
        <f t="shared" si="14"/>
        <v>17280</v>
      </c>
      <c r="K140" s="638">
        <v>24</v>
      </c>
      <c r="L140" s="570"/>
      <c r="M140" s="570"/>
      <c r="N140" s="570"/>
      <c r="O140" s="570"/>
      <c r="P140" s="570"/>
      <c r="Q140" s="570"/>
      <c r="R140" s="570"/>
      <c r="S140" s="570"/>
      <c r="T140" s="570"/>
      <c r="U140" s="570"/>
      <c r="V140" s="665"/>
      <c r="W140" s="665"/>
      <c r="X140" s="665"/>
      <c r="Y140" s="665"/>
      <c r="Z140" s="570"/>
      <c r="AA140" s="570"/>
      <c r="AB140" s="570"/>
      <c r="AC140" s="570"/>
      <c r="AD140" s="570"/>
      <c r="AE140" s="570"/>
      <c r="AF140" s="570"/>
      <c r="AG140" s="570"/>
      <c r="AH140" s="570"/>
      <c r="AI140" s="570"/>
      <c r="AJ140" s="570"/>
      <c r="AK140" s="570"/>
      <c r="AL140" s="570">
        <v>2880</v>
      </c>
      <c r="AM140" s="570">
        <v>2880</v>
      </c>
      <c r="AN140" s="570">
        <v>2880</v>
      </c>
      <c r="AO140" s="570">
        <v>2880</v>
      </c>
      <c r="AP140" s="570">
        <v>2880</v>
      </c>
      <c r="AQ140" s="570">
        <v>2880</v>
      </c>
      <c r="AR140" s="576" t="s">
        <v>3686</v>
      </c>
      <c r="AS140" s="556"/>
      <c r="AT140" s="556"/>
      <c r="AU140" s="556"/>
      <c r="AV140" s="556"/>
      <c r="AW140" s="556" t="s">
        <v>3686</v>
      </c>
      <c r="AX140" s="556" t="s">
        <v>3312</v>
      </c>
      <c r="AY140" s="581">
        <v>46332</v>
      </c>
      <c r="AZ140" s="578"/>
      <c r="BA140" s="568"/>
      <c r="BB140" s="568"/>
      <c r="BC140" s="579" t="s">
        <v>3699</v>
      </c>
      <c r="BD140" s="660" t="s">
        <v>3339</v>
      </c>
      <c r="BF140" s="521">
        <f t="shared" si="17"/>
        <v>8640</v>
      </c>
    </row>
    <row r="141" s="521" customFormat="1" ht="30.95" customHeight="1" spans="1:58">
      <c r="A141" s="555">
        <f t="shared" si="16"/>
        <v>137</v>
      </c>
      <c r="B141" s="487" t="s">
        <v>209</v>
      </c>
      <c r="C141" s="146" t="s">
        <v>2947</v>
      </c>
      <c r="D141" s="573" t="s">
        <v>3700</v>
      </c>
      <c r="E141" s="573" t="s">
        <v>3701</v>
      </c>
      <c r="F141" s="635">
        <v>46255</v>
      </c>
      <c r="G141" s="635">
        <v>46320</v>
      </c>
      <c r="H141" s="635">
        <v>46332</v>
      </c>
      <c r="I141" s="636">
        <v>46262</v>
      </c>
      <c r="J141" s="637">
        <f t="shared" si="14"/>
        <v>6480</v>
      </c>
      <c r="K141" s="638">
        <v>24</v>
      </c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665"/>
      <c r="W141" s="665"/>
      <c r="X141" s="665"/>
      <c r="Y141" s="665"/>
      <c r="Z141" s="570"/>
      <c r="AA141" s="570"/>
      <c r="AB141" s="570"/>
      <c r="AC141" s="570"/>
      <c r="AD141" s="570"/>
      <c r="AE141" s="570"/>
      <c r="AF141" s="570"/>
      <c r="AG141" s="570"/>
      <c r="AH141" s="570"/>
      <c r="AI141" s="570"/>
      <c r="AJ141" s="570"/>
      <c r="AK141" s="570"/>
      <c r="AL141" s="570">
        <v>1080</v>
      </c>
      <c r="AM141" s="570">
        <v>1080</v>
      </c>
      <c r="AN141" s="570">
        <v>1080</v>
      </c>
      <c r="AO141" s="570">
        <v>1080</v>
      </c>
      <c r="AP141" s="570">
        <v>1080</v>
      </c>
      <c r="AQ141" s="570">
        <v>1080</v>
      </c>
      <c r="AR141" s="576" t="s">
        <v>3686</v>
      </c>
      <c r="AS141" s="556"/>
      <c r="AT141" s="556"/>
      <c r="AU141" s="556"/>
      <c r="AV141" s="556"/>
      <c r="AW141" s="556" t="s">
        <v>3686</v>
      </c>
      <c r="AX141" s="556" t="s">
        <v>3312</v>
      </c>
      <c r="AY141" s="581">
        <v>46332</v>
      </c>
      <c r="AZ141" s="578"/>
      <c r="BA141" s="568"/>
      <c r="BB141" s="568"/>
      <c r="BC141" s="579" t="s">
        <v>3702</v>
      </c>
      <c r="BD141" s="660" t="s">
        <v>3339</v>
      </c>
      <c r="BF141" s="521">
        <f t="shared" si="17"/>
        <v>3240</v>
      </c>
    </row>
    <row r="142" s="521" customFormat="1" ht="30.95" customHeight="1" spans="1:58">
      <c r="A142" s="555">
        <f t="shared" si="16"/>
        <v>138</v>
      </c>
      <c r="B142" s="487" t="s">
        <v>209</v>
      </c>
      <c r="C142" s="146" t="s">
        <v>2947</v>
      </c>
      <c r="D142" s="573" t="s">
        <v>3703</v>
      </c>
      <c r="E142" s="573" t="s">
        <v>3704</v>
      </c>
      <c r="F142" s="635">
        <v>46255</v>
      </c>
      <c r="G142" s="635">
        <v>46320</v>
      </c>
      <c r="H142" s="635">
        <v>46332</v>
      </c>
      <c r="I142" s="636">
        <v>46262</v>
      </c>
      <c r="J142" s="637">
        <f t="shared" si="14"/>
        <v>4320</v>
      </c>
      <c r="K142" s="638">
        <v>24</v>
      </c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665"/>
      <c r="W142" s="665"/>
      <c r="X142" s="665"/>
      <c r="Y142" s="665"/>
      <c r="Z142" s="570"/>
      <c r="AA142" s="570"/>
      <c r="AB142" s="570"/>
      <c r="AC142" s="570"/>
      <c r="AD142" s="570"/>
      <c r="AE142" s="570"/>
      <c r="AF142" s="570"/>
      <c r="AG142" s="570"/>
      <c r="AH142" s="570"/>
      <c r="AI142" s="570"/>
      <c r="AJ142" s="570"/>
      <c r="AK142" s="570"/>
      <c r="AL142" s="570">
        <v>720</v>
      </c>
      <c r="AM142" s="570">
        <v>720</v>
      </c>
      <c r="AN142" s="570">
        <v>720</v>
      </c>
      <c r="AO142" s="570">
        <v>720</v>
      </c>
      <c r="AP142" s="570">
        <v>720</v>
      </c>
      <c r="AQ142" s="570">
        <v>720</v>
      </c>
      <c r="AR142" s="576" t="s">
        <v>3686</v>
      </c>
      <c r="AS142" s="556"/>
      <c r="AT142" s="556"/>
      <c r="AU142" s="556"/>
      <c r="AV142" s="556"/>
      <c r="AW142" s="556" t="s">
        <v>3686</v>
      </c>
      <c r="AX142" s="556" t="s">
        <v>3312</v>
      </c>
      <c r="AY142" s="581">
        <v>46332</v>
      </c>
      <c r="AZ142" s="578"/>
      <c r="BA142" s="568"/>
      <c r="BB142" s="568"/>
      <c r="BC142" s="579" t="s">
        <v>3705</v>
      </c>
      <c r="BD142" s="660" t="s">
        <v>3339</v>
      </c>
      <c r="BF142" s="521">
        <f t="shared" si="17"/>
        <v>2160</v>
      </c>
    </row>
    <row r="143" s="521" customFormat="1" ht="30.95" customHeight="1" spans="1:58">
      <c r="A143" s="555">
        <f t="shared" si="16"/>
        <v>139</v>
      </c>
      <c r="B143" s="269" t="s">
        <v>209</v>
      </c>
      <c r="C143" s="270" t="s">
        <v>2947</v>
      </c>
      <c r="D143" s="272" t="s">
        <v>3706</v>
      </c>
      <c r="E143" s="272" t="s">
        <v>3707</v>
      </c>
      <c r="F143" s="681">
        <v>46265</v>
      </c>
      <c r="G143" s="681">
        <v>46349</v>
      </c>
      <c r="H143" s="681"/>
      <c r="I143" s="682"/>
      <c r="J143" s="683">
        <f t="shared" si="14"/>
        <v>6480</v>
      </c>
      <c r="K143" s="684">
        <v>24</v>
      </c>
      <c r="L143" s="570"/>
      <c r="M143" s="570"/>
      <c r="N143" s="570"/>
      <c r="O143" s="570"/>
      <c r="P143" s="570"/>
      <c r="Q143" s="570"/>
      <c r="R143" s="570"/>
      <c r="S143" s="570"/>
      <c r="T143" s="570"/>
      <c r="U143" s="570"/>
      <c r="V143" s="665"/>
      <c r="W143" s="665"/>
      <c r="X143" s="665"/>
      <c r="Y143" s="665"/>
      <c r="Z143" s="570"/>
      <c r="AA143" s="570"/>
      <c r="AB143" s="570"/>
      <c r="AC143" s="570"/>
      <c r="AD143" s="570"/>
      <c r="AE143" s="570"/>
      <c r="AF143" s="570"/>
      <c r="AG143" s="570"/>
      <c r="AH143" s="570"/>
      <c r="AI143" s="570"/>
      <c r="AJ143" s="570"/>
      <c r="AK143" s="570"/>
      <c r="AL143" s="570">
        <v>1080</v>
      </c>
      <c r="AM143" s="570">
        <v>1080</v>
      </c>
      <c r="AN143" s="570">
        <v>1080</v>
      </c>
      <c r="AO143" s="570">
        <v>1080</v>
      </c>
      <c r="AP143" s="570">
        <v>1080</v>
      </c>
      <c r="AQ143" s="570">
        <v>1080</v>
      </c>
      <c r="AR143" s="576"/>
      <c r="AS143" s="556"/>
      <c r="AT143" s="556"/>
      <c r="AU143" s="556"/>
      <c r="AV143" s="556"/>
      <c r="AW143" s="556"/>
      <c r="AX143" s="556" t="s">
        <v>3312</v>
      </c>
      <c r="AY143" s="581"/>
      <c r="AZ143" s="578"/>
      <c r="BA143" s="568"/>
      <c r="BB143" s="568"/>
      <c r="BC143" s="579" t="s">
        <v>3708</v>
      </c>
      <c r="BD143" s="660" t="s">
        <v>3339</v>
      </c>
    </row>
    <row r="144" s="521" customFormat="1" ht="30.95" customHeight="1" spans="1:58">
      <c r="A144" s="555">
        <f t="shared" si="16"/>
        <v>140</v>
      </c>
      <c r="B144" s="269" t="s">
        <v>209</v>
      </c>
      <c r="C144" s="270" t="s">
        <v>2947</v>
      </c>
      <c r="D144" s="272" t="s">
        <v>3709</v>
      </c>
      <c r="E144" s="272" t="s">
        <v>3707</v>
      </c>
      <c r="F144" s="681">
        <v>46265</v>
      </c>
      <c r="G144" s="681">
        <v>46349</v>
      </c>
      <c r="H144" s="681"/>
      <c r="I144" s="682"/>
      <c r="J144" s="683">
        <f t="shared" si="14"/>
        <v>4320</v>
      </c>
      <c r="K144" s="684">
        <v>24</v>
      </c>
      <c r="L144" s="570"/>
      <c r="M144" s="570"/>
      <c r="N144" s="570"/>
      <c r="O144" s="570"/>
      <c r="P144" s="570"/>
      <c r="Q144" s="570"/>
      <c r="R144" s="570"/>
      <c r="S144" s="570"/>
      <c r="T144" s="570"/>
      <c r="U144" s="570"/>
      <c r="V144" s="665"/>
      <c r="W144" s="665"/>
      <c r="X144" s="665"/>
      <c r="Y144" s="665"/>
      <c r="Z144" s="570"/>
      <c r="AA144" s="570"/>
      <c r="AB144" s="570"/>
      <c r="AC144" s="570"/>
      <c r="AD144" s="570"/>
      <c r="AE144" s="570"/>
      <c r="AF144" s="570"/>
      <c r="AG144" s="570"/>
      <c r="AH144" s="570"/>
      <c r="AI144" s="570"/>
      <c r="AJ144" s="570"/>
      <c r="AK144" s="570"/>
      <c r="AL144" s="570">
        <v>720</v>
      </c>
      <c r="AM144" s="570">
        <v>720</v>
      </c>
      <c r="AN144" s="570">
        <v>720</v>
      </c>
      <c r="AO144" s="570">
        <v>720</v>
      </c>
      <c r="AP144" s="570">
        <v>720</v>
      </c>
      <c r="AQ144" s="570">
        <v>720</v>
      </c>
      <c r="AR144" s="576"/>
      <c r="AS144" s="556"/>
      <c r="AT144" s="556"/>
      <c r="AU144" s="556"/>
      <c r="AV144" s="556"/>
      <c r="AW144" s="556"/>
      <c r="AX144" s="556" t="s">
        <v>3312</v>
      </c>
      <c r="AY144" s="581"/>
      <c r="AZ144" s="578"/>
      <c r="BA144" s="568"/>
      <c r="BB144" s="568"/>
      <c r="BC144" s="579" t="s">
        <v>3710</v>
      </c>
      <c r="BD144" s="660" t="s">
        <v>3339</v>
      </c>
    </row>
    <row r="145" s="521" customFormat="1" ht="30.95" customHeight="1" spans="1:56">
      <c r="A145" s="555">
        <f t="shared" si="16"/>
        <v>141</v>
      </c>
      <c r="B145" s="183"/>
      <c r="C145" s="96"/>
      <c r="D145" s="293"/>
      <c r="E145" s="293"/>
      <c r="F145" s="82"/>
      <c r="G145" s="82"/>
      <c r="H145" s="82"/>
      <c r="I145" s="562"/>
      <c r="J145" s="563"/>
      <c r="K145" s="564"/>
      <c r="L145" s="570"/>
      <c r="M145" s="570"/>
      <c r="N145" s="570"/>
      <c r="O145" s="570"/>
      <c r="P145" s="570"/>
      <c r="Q145" s="570"/>
      <c r="R145" s="570"/>
      <c r="S145" s="570"/>
      <c r="T145" s="570"/>
      <c r="U145" s="570"/>
      <c r="V145" s="665"/>
      <c r="W145" s="665"/>
      <c r="X145" s="665"/>
      <c r="Y145" s="665"/>
      <c r="Z145" s="570"/>
      <c r="AA145" s="570"/>
      <c r="AB145" s="570"/>
      <c r="AC145" s="570"/>
      <c r="AD145" s="570"/>
      <c r="AE145" s="570"/>
      <c r="AF145" s="570"/>
      <c r="AG145" s="570"/>
      <c r="AH145" s="570"/>
      <c r="AI145" s="570"/>
      <c r="AJ145" s="570"/>
      <c r="AK145" s="570"/>
      <c r="AL145" s="570"/>
      <c r="AM145" s="570"/>
      <c r="AN145" s="570"/>
      <c r="AO145" s="570"/>
      <c r="AP145" s="570"/>
      <c r="AQ145" s="570"/>
      <c r="AR145" s="576"/>
      <c r="AS145" s="556"/>
      <c r="AT145" s="556"/>
      <c r="AU145" s="556"/>
      <c r="AV145" s="556"/>
      <c r="AW145" s="556"/>
      <c r="AX145" s="556"/>
      <c r="AY145" s="581"/>
      <c r="AZ145" s="578"/>
      <c r="BA145" s="568"/>
      <c r="BB145" s="568"/>
      <c r="BC145" s="579"/>
      <c r="BD145" s="660"/>
    </row>
    <row r="146" s="521" customFormat="1" ht="24.75" customHeight="1" spans="1:56">
      <c r="A146" s="582" t="s">
        <v>66</v>
      </c>
      <c r="B146" s="583"/>
      <c r="C146" s="583"/>
      <c r="D146" s="583"/>
      <c r="E146" s="583"/>
      <c r="F146" s="583"/>
      <c r="G146" s="583"/>
      <c r="H146" s="583"/>
      <c r="I146" s="583"/>
      <c r="J146" s="584">
        <f>SUM(J6:J135)</f>
        <v>1813992</v>
      </c>
      <c r="K146" s="556"/>
      <c r="L146" s="580">
        <f t="shared" ref="L146:AK146" si="18">SUM(L6:L145)</f>
        <v>7368</v>
      </c>
      <c r="M146" s="580">
        <f t="shared" si="18"/>
        <v>7368</v>
      </c>
      <c r="N146" s="580">
        <f t="shared" si="18"/>
        <v>7368</v>
      </c>
      <c r="O146" s="580">
        <f t="shared" si="18"/>
        <v>7368</v>
      </c>
      <c r="P146" s="580">
        <f t="shared" si="18"/>
        <v>7368</v>
      </c>
      <c r="Q146" s="580">
        <f t="shared" si="18"/>
        <v>7368</v>
      </c>
      <c r="R146" s="580">
        <f t="shared" si="18"/>
        <v>7500</v>
      </c>
      <c r="S146" s="580">
        <f t="shared" si="18"/>
        <v>7500</v>
      </c>
      <c r="T146" s="580">
        <f t="shared" si="18"/>
        <v>7500</v>
      </c>
      <c r="U146" s="580">
        <f t="shared" si="18"/>
        <v>7500</v>
      </c>
      <c r="V146" s="580">
        <f t="shared" si="18"/>
        <v>65016</v>
      </c>
      <c r="W146" s="580">
        <f t="shared" si="18"/>
        <v>65016</v>
      </c>
      <c r="X146" s="580">
        <f t="shared" si="18"/>
        <v>50016</v>
      </c>
      <c r="Y146" s="580">
        <f t="shared" si="18"/>
        <v>50016</v>
      </c>
      <c r="Z146" s="580">
        <f t="shared" si="18"/>
        <v>30084</v>
      </c>
      <c r="AA146" s="580">
        <f t="shared" si="18"/>
        <v>30084</v>
      </c>
      <c r="AB146" s="580">
        <f t="shared" si="18"/>
        <v>30084</v>
      </c>
      <c r="AC146" s="580">
        <f t="shared" si="18"/>
        <v>30084</v>
      </c>
      <c r="AD146" s="580">
        <f t="shared" si="18"/>
        <v>30084</v>
      </c>
      <c r="AE146" s="580">
        <f t="shared" si="18"/>
        <v>30084</v>
      </c>
      <c r="AF146" s="580">
        <f t="shared" si="18"/>
        <v>48248</v>
      </c>
      <c r="AG146" s="580">
        <f t="shared" si="18"/>
        <v>48248</v>
      </c>
      <c r="AH146" s="580">
        <f t="shared" si="18"/>
        <v>48248</v>
      </c>
      <c r="AI146" s="580">
        <f t="shared" si="18"/>
        <v>48248</v>
      </c>
      <c r="AJ146" s="580">
        <f t="shared" si="18"/>
        <v>48248</v>
      </c>
      <c r="AK146" s="580">
        <f t="shared" si="18"/>
        <v>48248</v>
      </c>
      <c r="AL146" s="580">
        <f t="shared" ref="AL146:AQ146" si="19">SUM(AL6:AL145)</f>
        <v>266528</v>
      </c>
      <c r="AM146" s="580">
        <f t="shared" si="19"/>
        <v>266528</v>
      </c>
      <c r="AN146" s="580">
        <f t="shared" si="19"/>
        <v>266528</v>
      </c>
      <c r="AO146" s="580">
        <f t="shared" si="19"/>
        <v>266528</v>
      </c>
      <c r="AP146" s="580">
        <f t="shared" si="19"/>
        <v>266528</v>
      </c>
      <c r="AQ146" s="580">
        <f t="shared" si="19"/>
        <v>266528</v>
      </c>
      <c r="AR146" s="556"/>
      <c r="AS146" s="556"/>
      <c r="AT146" s="556"/>
      <c r="AU146" s="556"/>
      <c r="AV146" s="556"/>
      <c r="AW146" s="556"/>
      <c r="AX146" s="556"/>
      <c r="AY146" s="581"/>
      <c r="AZ146" s="568"/>
      <c r="BA146" s="568"/>
      <c r="BB146" s="568"/>
      <c r="BC146" s="560"/>
    </row>
    <row r="147" s="523" customFormat="1" ht="22.7" customHeight="1" spans="1:56">
      <c r="A147" s="585" t="s">
        <v>3711</v>
      </c>
      <c r="B147" s="586"/>
      <c r="C147" s="586"/>
      <c r="D147" s="586"/>
      <c r="E147" s="586"/>
      <c r="F147" s="586"/>
      <c r="G147" s="586"/>
      <c r="H147" s="586"/>
      <c r="I147" s="586"/>
      <c r="J147" s="685">
        <f>SUM(L147:AQ147)</f>
        <v>2362600</v>
      </c>
      <c r="K147" s="586"/>
      <c r="L147" s="586">
        <f t="shared" ref="L147:Q147" si="20">7368</f>
        <v>7368</v>
      </c>
      <c r="M147" s="586">
        <f t="shared" si="20"/>
        <v>7368</v>
      </c>
      <c r="N147" s="586">
        <f t="shared" si="20"/>
        <v>7368</v>
      </c>
      <c r="O147" s="586">
        <f t="shared" si="20"/>
        <v>7368</v>
      </c>
      <c r="P147" s="586">
        <f t="shared" si="20"/>
        <v>7368</v>
      </c>
      <c r="Q147" s="586">
        <f t="shared" si="20"/>
        <v>7368</v>
      </c>
      <c r="R147" s="586">
        <f>7500</f>
        <v>7500</v>
      </c>
      <c r="S147" s="586">
        <f>7500</f>
        <v>7500</v>
      </c>
      <c r="T147" s="586">
        <f>7500</f>
        <v>7500</v>
      </c>
      <c r="U147" s="586">
        <f>7500</f>
        <v>7500</v>
      </c>
      <c r="V147" s="586">
        <f>20004+20004+10000+15000</f>
        <v>65008</v>
      </c>
      <c r="W147" s="586">
        <f>20004+20004+10000+15000</f>
        <v>65008</v>
      </c>
      <c r="X147" s="586">
        <f t="shared" ref="X147:Y147" si="21">20004+20004+10000</f>
        <v>50008</v>
      </c>
      <c r="Y147" s="586">
        <f t="shared" si="21"/>
        <v>50008</v>
      </c>
      <c r="Z147" s="586">
        <f t="shared" ref="Z147:AE147" si="22">30084</f>
        <v>30084</v>
      </c>
      <c r="AA147" s="586">
        <f t="shared" si="22"/>
        <v>30084</v>
      </c>
      <c r="AB147" s="586">
        <f t="shared" si="22"/>
        <v>30084</v>
      </c>
      <c r="AC147" s="586">
        <f t="shared" si="22"/>
        <v>30084</v>
      </c>
      <c r="AD147" s="586">
        <f t="shared" si="22"/>
        <v>30084</v>
      </c>
      <c r="AE147" s="586">
        <f t="shared" si="22"/>
        <v>30084</v>
      </c>
      <c r="AF147" s="586">
        <f t="shared" ref="AF147:AK147" si="23">25208+23040</f>
        <v>48248</v>
      </c>
      <c r="AG147" s="586">
        <f t="shared" si="23"/>
        <v>48248</v>
      </c>
      <c r="AH147" s="586">
        <f t="shared" si="23"/>
        <v>48248</v>
      </c>
      <c r="AI147" s="586">
        <f t="shared" si="23"/>
        <v>48248</v>
      </c>
      <c r="AJ147" s="586">
        <f t="shared" si="23"/>
        <v>48248</v>
      </c>
      <c r="AK147" s="586">
        <f t="shared" si="23"/>
        <v>48248</v>
      </c>
      <c r="AL147" s="586">
        <f t="shared" ref="AL147:AQ147" si="24">33608+9360+14760+32760+12960+9360+14400+1080+85320+3240+14400+20520+12960</f>
        <v>264728</v>
      </c>
      <c r="AM147" s="586">
        <f t="shared" si="24"/>
        <v>264728</v>
      </c>
      <c r="AN147" s="586">
        <f t="shared" si="24"/>
        <v>264728</v>
      </c>
      <c r="AO147" s="586">
        <f t="shared" si="24"/>
        <v>264728</v>
      </c>
      <c r="AP147" s="586">
        <f t="shared" si="24"/>
        <v>264728</v>
      </c>
      <c r="AQ147" s="586">
        <f t="shared" si="24"/>
        <v>264728</v>
      </c>
      <c r="AR147" s="586"/>
      <c r="AS147" s="556"/>
      <c r="AT147" s="556"/>
      <c r="AU147" s="556"/>
      <c r="AV147" s="556"/>
      <c r="AW147" s="556"/>
      <c r="AX147" s="587"/>
      <c r="AY147" s="587"/>
      <c r="AZ147" s="587"/>
      <c r="BA147" s="587"/>
      <c r="BB147" s="587"/>
      <c r="BC147" s="588"/>
    </row>
    <row r="148" s="523" customFormat="1" ht="25.5" customHeight="1" spans="1:56">
      <c r="A148" s="589" t="s">
        <v>67</v>
      </c>
      <c r="B148" s="590"/>
      <c r="C148" s="590"/>
      <c r="D148" s="590"/>
      <c r="E148" s="590"/>
      <c r="F148" s="590"/>
      <c r="G148" s="590"/>
      <c r="H148" s="590"/>
      <c r="I148" s="590"/>
      <c r="J148" s="686">
        <f>J147-J146</f>
        <v>548608</v>
      </c>
      <c r="K148" s="592"/>
      <c r="L148" s="593">
        <f t="shared" ref="L148:U148" si="25">L147-L146</f>
        <v>0</v>
      </c>
      <c r="M148" s="593">
        <f t="shared" si="25"/>
        <v>0</v>
      </c>
      <c r="N148" s="593">
        <f t="shared" si="25"/>
        <v>0</v>
      </c>
      <c r="O148" s="593">
        <f t="shared" si="25"/>
        <v>0</v>
      </c>
      <c r="P148" s="593">
        <f t="shared" si="25"/>
        <v>0</v>
      </c>
      <c r="Q148" s="593">
        <f t="shared" si="25"/>
        <v>0</v>
      </c>
      <c r="R148" s="593">
        <f t="shared" si="25"/>
        <v>0</v>
      </c>
      <c r="S148" s="593">
        <f t="shared" si="25"/>
        <v>0</v>
      </c>
      <c r="T148" s="593">
        <f t="shared" si="25"/>
        <v>0</v>
      </c>
      <c r="U148" s="593">
        <f t="shared" si="25"/>
        <v>0</v>
      </c>
      <c r="V148" s="593">
        <f t="shared" ref="V148:AQ148" si="26">V147-V146</f>
        <v>-8</v>
      </c>
      <c r="W148" s="593">
        <f t="shared" si="26"/>
        <v>-8</v>
      </c>
      <c r="X148" s="593">
        <f t="shared" si="26"/>
        <v>-8</v>
      </c>
      <c r="Y148" s="593">
        <f t="shared" si="26"/>
        <v>-8</v>
      </c>
      <c r="Z148" s="593">
        <f t="shared" si="26"/>
        <v>0</v>
      </c>
      <c r="AA148" s="593">
        <f t="shared" si="26"/>
        <v>0</v>
      </c>
      <c r="AB148" s="593">
        <f t="shared" si="26"/>
        <v>0</v>
      </c>
      <c r="AC148" s="593">
        <f t="shared" si="26"/>
        <v>0</v>
      </c>
      <c r="AD148" s="593">
        <f t="shared" si="26"/>
        <v>0</v>
      </c>
      <c r="AE148" s="593">
        <f t="shared" si="26"/>
        <v>0</v>
      </c>
      <c r="AF148" s="593">
        <f t="shared" si="26"/>
        <v>0</v>
      </c>
      <c r="AG148" s="593">
        <f t="shared" si="26"/>
        <v>0</v>
      </c>
      <c r="AH148" s="593">
        <f t="shared" si="26"/>
        <v>0</v>
      </c>
      <c r="AI148" s="593">
        <f t="shared" si="26"/>
        <v>0</v>
      </c>
      <c r="AJ148" s="593">
        <f t="shared" si="26"/>
        <v>0</v>
      </c>
      <c r="AK148" s="593">
        <f t="shared" si="26"/>
        <v>0</v>
      </c>
      <c r="AL148" s="593">
        <f t="shared" si="26"/>
        <v>-1800</v>
      </c>
      <c r="AM148" s="593">
        <f t="shared" si="26"/>
        <v>-1800</v>
      </c>
      <c r="AN148" s="593">
        <f t="shared" si="26"/>
        <v>-1800</v>
      </c>
      <c r="AO148" s="593">
        <f t="shared" si="26"/>
        <v>-1800</v>
      </c>
      <c r="AP148" s="593">
        <f t="shared" si="26"/>
        <v>-1800</v>
      </c>
      <c r="AQ148" s="593">
        <f t="shared" si="26"/>
        <v>-1800</v>
      </c>
      <c r="AR148" s="594"/>
      <c r="AS148" s="594"/>
      <c r="AT148" s="594"/>
      <c r="AU148" s="594"/>
      <c r="AV148" s="594"/>
      <c r="AW148" s="594"/>
      <c r="AX148" s="594"/>
      <c r="AY148" s="594"/>
      <c r="AZ148" s="594"/>
      <c r="BA148" s="594"/>
      <c r="BB148" s="594"/>
      <c r="BC148" s="595"/>
    </row>
    <row r="149" s="519" customFormat="1" spans="1:56">
      <c r="B149" s="596" t="s">
        <v>68</v>
      </c>
      <c r="C149" s="597"/>
      <c r="D149" s="598"/>
      <c r="E149" s="598"/>
      <c r="F149" s="598"/>
      <c r="G149" s="598"/>
      <c r="H149" s="598"/>
      <c r="I149" s="598"/>
      <c r="AZ149" s="599"/>
      <c r="BA149" s="599"/>
      <c r="BB149" s="599"/>
      <c r="BC149" s="625"/>
    </row>
    <row r="150" s="519" customFormat="1" spans="1:56">
      <c r="AZ150" s="599"/>
      <c r="BA150" s="599"/>
      <c r="BB150" s="599"/>
      <c r="BC150" s="625"/>
    </row>
    <row r="151" s="519" customFormat="1" spans="1:56">
      <c r="AZ151" s="599"/>
      <c r="BA151" s="599"/>
      <c r="BB151" s="599"/>
      <c r="BC151" s="625"/>
    </row>
    <row r="152" s="519" customFormat="1" spans="1:56">
      <c r="AZ152" s="599"/>
      <c r="BA152" s="599"/>
      <c r="BB152" s="599"/>
      <c r="BC152" s="625"/>
    </row>
    <row r="153" s="519" customFormat="1" spans="1:56">
      <c r="AZ153" s="599"/>
      <c r="BA153" s="599"/>
      <c r="BB153" s="599"/>
      <c r="BC153" s="625"/>
    </row>
  </sheetData>
  <autoFilter xmlns:etc="http://www.wps.cn/officeDocument/2017/etCustomData" ref="A5:BD149" etc:filterBottomFollowUsedRange="0">
    <filterColumn colId="53">
      <filters blank="1"/>
    </filterColumn>
    <extLst/>
  </autoFilter>
  <mergeCells count="55">
    <mergeCell ref="A1:AX1"/>
    <mergeCell ref="AY1:AZ1"/>
    <mergeCell ref="BA1:BC1"/>
    <mergeCell ref="L2:AQ2"/>
    <mergeCell ref="L3:Q3"/>
    <mergeCell ref="R3:U3"/>
    <mergeCell ref="V3:Y3"/>
    <mergeCell ref="Z3:AE3"/>
    <mergeCell ref="AF3:AK3"/>
    <mergeCell ref="AL3:AQ3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146:I146"/>
    <mergeCell ref="A147:I147"/>
    <mergeCell ref="A148:I148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AR2:AR5"/>
    <mergeCell ref="AS2:AS5"/>
    <mergeCell ref="AT2:AT5"/>
    <mergeCell ref="AU2:AU5"/>
    <mergeCell ref="AV2:AV5"/>
    <mergeCell ref="AW2:AW5"/>
    <mergeCell ref="AX2:AX5"/>
    <mergeCell ref="AY2:AY5"/>
    <mergeCell ref="AZ2:AZ5"/>
    <mergeCell ref="BA2:BA5"/>
    <mergeCell ref="BB2:BB5"/>
    <mergeCell ref="BC2:BC5"/>
    <mergeCell ref="BD2:BD5"/>
    <mergeCell ref="BE2:BE5"/>
    <mergeCell ref="BF2:BF5"/>
  </mergeCells>
  <conditionalFormatting sqref="L148:U148">
    <cfRule type="cellIs" dxfId="0" priority="2" operator="lessThan">
      <formula>0</formula>
    </cfRule>
  </conditionalFormatting>
  <conditionalFormatting sqref="L148:AQ148">
    <cfRule type="cellIs" dxfId="2" priority="1" operator="lessThan">
      <formula>0</formula>
    </cfRule>
  </conditionalFormatting>
  <conditionalFormatting sqref="V148:AQ148">
    <cfRule type="cellIs" dxfId="1" priority="3" operator="lessThan">
      <formula>0</formula>
    </cfRule>
    <cfRule type="cellIs" dxfId="3" priority="4" operator="lessThan">
      <formula>0</formula>
    </cfRule>
    <cfRule type="cellIs" dxfId="4" priority="5" operator="lessThan">
      <formula>0</formula>
    </cfRule>
  </conditionalFormatting>
  <printOptions horizontalCentered="1"/>
  <pageMargins left="0.313888888888889" right="0.313888888888889" top="0.354166666666667" bottom="0" header="0.313888888888889" footer="0.313888888888889"/>
  <pageSetup paperSize="9" scale="60" fitToHeight="4" orientation="landscape" horizontalDpi="1200" verticalDpi="1200"/>
  <headerFooter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C000"/>
    <pageSetUpPr fitToPage="1"/>
  </sheetPr>
  <dimension ref="A1:Y19"/>
  <sheetViews>
    <sheetView workbookViewId="0">
      <pane xSplit="11" ySplit="4" topLeftCell="L5" activePane="bottomRight" state="frozen"/>
      <selection/>
      <selection pane="topRight"/>
      <selection pane="bottomLeft"/>
      <selection pane="bottomRight" activeCell="P11" sqref="P11"/>
    </sheetView>
  </sheetViews>
  <sheetFormatPr defaultColWidth="9" defaultRowHeight="14.25"/>
  <cols>
    <col min="1" max="1" width="4.125" style="288" customWidth="1"/>
    <col min="2" max="2" width="7.375" style="288" customWidth="1"/>
    <col min="3" max="3" width="6.375" style="288" customWidth="1"/>
    <col min="4" max="4" width="11.125" style="288" customWidth="1"/>
    <col min="5" max="5" width="10.375" style="288" customWidth="1"/>
    <col min="6" max="8" width="6.375" style="288" customWidth="1"/>
    <col min="9" max="9" width="5.875" style="288" customWidth="1"/>
    <col min="10" max="10" width="9" style="288"/>
    <col min="11" max="11" width="5.125" style="288" customWidth="1"/>
    <col min="12" max="13" width="9.625" style="288" customWidth="1"/>
    <col min="14" max="14" width="7.875" style="288" customWidth="1"/>
    <col min="15" max="17" width="5.625" style="288" customWidth="1"/>
    <col min="18" max="18" width="7.375" style="288" customWidth="1"/>
    <col min="19" max="19" width="21.5" style="288" customWidth="1"/>
    <col min="20" max="20" width="8.375" style="288" customWidth="1"/>
    <col min="21" max="21" width="8.625" style="288" customWidth="1"/>
    <col min="22" max="22" width="8" style="288" customWidth="1"/>
    <col min="23" max="23" width="9" style="288" customWidth="1"/>
    <col min="24" max="24" width="13.5" style="288" customWidth="1"/>
    <col min="25" max="25" width="17.125" style="288" customWidth="1"/>
    <col min="26" max="16384" width="9" style="288"/>
  </cols>
  <sheetData>
    <row r="1" s="519" customFormat="1" ht="35.1" customHeight="1" spans="1:25">
      <c r="A1" s="524" t="s">
        <v>3712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602" t="s">
        <v>1</v>
      </c>
      <c r="U1" s="603"/>
      <c r="V1" s="604">
        <f ca="1">TODAY()</f>
        <v>46277</v>
      </c>
      <c r="W1" s="604"/>
      <c r="X1" s="605"/>
    </row>
    <row r="2" s="520" customFormat="1" ht="19.5" customHeight="1" spans="1:25">
      <c r="A2" s="541" t="s">
        <v>2</v>
      </c>
      <c r="B2" s="542" t="s">
        <v>3</v>
      </c>
      <c r="C2" s="542" t="s">
        <v>4</v>
      </c>
      <c r="D2" s="542" t="s">
        <v>5</v>
      </c>
      <c r="E2" s="606" t="s">
        <v>6</v>
      </c>
      <c r="F2" s="542" t="s">
        <v>7</v>
      </c>
      <c r="G2" s="542" t="s">
        <v>8</v>
      </c>
      <c r="H2" s="542" t="s">
        <v>9</v>
      </c>
      <c r="I2" s="542" t="s">
        <v>10</v>
      </c>
      <c r="J2" s="542" t="s">
        <v>11</v>
      </c>
      <c r="K2" s="542" t="s">
        <v>12</v>
      </c>
      <c r="L2" s="544" t="s">
        <v>13</v>
      </c>
      <c r="M2" s="544"/>
      <c r="N2" s="545" t="s">
        <v>3242</v>
      </c>
      <c r="O2" s="608" t="s">
        <v>71</v>
      </c>
      <c r="P2" s="608" t="s">
        <v>1613</v>
      </c>
      <c r="Q2" s="547" t="s">
        <v>19</v>
      </c>
      <c r="R2" s="547" t="s">
        <v>3244</v>
      </c>
      <c r="S2" s="548" t="s">
        <v>21</v>
      </c>
      <c r="T2" s="549" t="s">
        <v>22</v>
      </c>
      <c r="U2" s="550" t="s">
        <v>23</v>
      </c>
      <c r="V2" s="550" t="s">
        <v>24</v>
      </c>
      <c r="W2" s="550" t="s">
        <v>25</v>
      </c>
      <c r="X2" s="551" t="s">
        <v>26</v>
      </c>
    </row>
    <row r="3" s="520" customFormat="1" ht="19.5" customHeight="1" spans="1:25">
      <c r="A3" s="541"/>
      <c r="B3" s="542"/>
      <c r="C3" s="542"/>
      <c r="D3" s="542"/>
      <c r="E3" s="543"/>
      <c r="F3" s="542"/>
      <c r="G3" s="542"/>
      <c r="H3" s="542"/>
      <c r="I3" s="542"/>
      <c r="J3" s="542"/>
      <c r="K3" s="542"/>
      <c r="L3" s="544"/>
      <c r="M3" s="544"/>
      <c r="N3" s="545"/>
      <c r="O3" s="546"/>
      <c r="P3" s="546"/>
      <c r="Q3" s="547"/>
      <c r="R3" s="547"/>
      <c r="S3" s="548"/>
      <c r="T3" s="549"/>
      <c r="U3" s="550"/>
      <c r="V3" s="550"/>
      <c r="W3" s="550"/>
      <c r="X3" s="551"/>
    </row>
    <row r="4" s="520" customFormat="1" ht="24" customHeight="1" spans="1:25">
      <c r="A4" s="541"/>
      <c r="B4" s="542"/>
      <c r="C4" s="542"/>
      <c r="D4" s="542"/>
      <c r="E4" s="552"/>
      <c r="F4" s="542"/>
      <c r="G4" s="542"/>
      <c r="H4" s="542"/>
      <c r="I4" s="542"/>
      <c r="J4" s="542"/>
      <c r="K4" s="542"/>
      <c r="L4" s="557" t="s">
        <v>3713</v>
      </c>
      <c r="M4" s="630" t="s">
        <v>3714</v>
      </c>
      <c r="N4" s="549"/>
      <c r="O4" s="554"/>
      <c r="P4" s="554"/>
      <c r="Q4" s="547"/>
      <c r="R4" s="547"/>
      <c r="S4" s="548"/>
      <c r="T4" s="549"/>
      <c r="U4" s="550"/>
      <c r="V4" s="550"/>
      <c r="W4" s="550"/>
      <c r="X4" s="551"/>
    </row>
    <row r="5" s="522" customFormat="1" ht="24" customHeight="1" spans="1:25">
      <c r="A5" s="555">
        <f>ROW()-4</f>
        <v>1</v>
      </c>
      <c r="B5" s="556" t="s">
        <v>240</v>
      </c>
      <c r="C5" s="556"/>
      <c r="D5" s="556"/>
      <c r="E5" s="566"/>
      <c r="F5" s="556"/>
      <c r="G5" s="556"/>
      <c r="H5" s="556"/>
      <c r="I5" s="556"/>
      <c r="J5" s="556">
        <f>SUM(L5:M5)</f>
        <v>100</v>
      </c>
      <c r="K5" s="556"/>
      <c r="L5" s="631">
        <v>50</v>
      </c>
      <c r="M5" s="631">
        <v>50</v>
      </c>
      <c r="N5" s="558"/>
      <c r="O5" s="566"/>
      <c r="P5" s="566"/>
      <c r="Q5" s="556"/>
      <c r="R5" s="556"/>
      <c r="S5" s="556"/>
      <c r="T5" s="559"/>
      <c r="U5" s="556"/>
      <c r="V5" s="556"/>
      <c r="W5" s="556"/>
      <c r="X5" s="560"/>
    </row>
    <row r="6" s="521" customFormat="1" ht="36" hidden="1" customHeight="1" spans="1:25">
      <c r="A6" s="612">
        <f>ROW()-4</f>
        <v>2</v>
      </c>
      <c r="B6" s="613" t="s">
        <v>2042</v>
      </c>
      <c r="C6" s="48" t="s">
        <v>101</v>
      </c>
      <c r="D6" s="51" t="s">
        <v>3715</v>
      </c>
      <c r="E6" s="51" t="s">
        <v>3716</v>
      </c>
      <c r="F6" s="52">
        <v>46058</v>
      </c>
      <c r="G6" s="56">
        <v>46128</v>
      </c>
      <c r="H6" s="56">
        <v>46128</v>
      </c>
      <c r="I6" s="614">
        <v>46091</v>
      </c>
      <c r="J6" s="615">
        <f>SUM(L6:M6)</f>
        <v>10000</v>
      </c>
      <c r="K6" s="616">
        <v>8</v>
      </c>
      <c r="L6" s="617">
        <v>5000</v>
      </c>
      <c r="M6" s="617">
        <v>5000</v>
      </c>
      <c r="N6" s="613" t="s">
        <v>2336</v>
      </c>
      <c r="O6" s="613" t="s">
        <v>1519</v>
      </c>
      <c r="P6" s="613" t="s">
        <v>1519</v>
      </c>
      <c r="Q6" s="613" t="s">
        <v>444</v>
      </c>
      <c r="R6" s="613" t="s">
        <v>2336</v>
      </c>
      <c r="S6" s="613" t="s">
        <v>3717</v>
      </c>
      <c r="T6" s="619">
        <v>46128</v>
      </c>
      <c r="U6" s="620" t="s">
        <v>3718</v>
      </c>
      <c r="V6" s="621"/>
      <c r="W6" s="620">
        <v>46137</v>
      </c>
      <c r="X6" s="622" t="s">
        <v>3719</v>
      </c>
      <c r="Y6" s="521" t="s">
        <v>3720</v>
      </c>
    </row>
    <row r="7" s="521" customFormat="1" ht="36" hidden="1" customHeight="1" spans="1:25">
      <c r="A7" s="612">
        <f>ROW()-4</f>
        <v>3</v>
      </c>
      <c r="B7" s="613" t="s">
        <v>2042</v>
      </c>
      <c r="C7" s="48" t="s">
        <v>101</v>
      </c>
      <c r="D7" s="51" t="s">
        <v>3721</v>
      </c>
      <c r="E7" s="51" t="s">
        <v>3722</v>
      </c>
      <c r="F7" s="52">
        <v>46058</v>
      </c>
      <c r="G7" s="56">
        <v>46142</v>
      </c>
      <c r="H7" s="56">
        <v>46142</v>
      </c>
      <c r="I7" s="614">
        <v>46091</v>
      </c>
      <c r="J7" s="615">
        <f>SUM(L7:M7)</f>
        <v>10000</v>
      </c>
      <c r="K7" s="616">
        <v>8</v>
      </c>
      <c r="L7" s="617">
        <v>5000</v>
      </c>
      <c r="M7" s="617">
        <v>5000</v>
      </c>
      <c r="N7" s="613" t="s">
        <v>2336</v>
      </c>
      <c r="O7" s="613" t="s">
        <v>1519</v>
      </c>
      <c r="P7" s="613" t="s">
        <v>1519</v>
      </c>
      <c r="Q7" s="632" t="s">
        <v>3723</v>
      </c>
      <c r="R7" s="613" t="s">
        <v>2336</v>
      </c>
      <c r="S7" s="613" t="s">
        <v>3717</v>
      </c>
      <c r="T7" s="619">
        <v>46142</v>
      </c>
      <c r="U7" s="620">
        <v>46135</v>
      </c>
      <c r="V7" s="613"/>
      <c r="W7" s="620">
        <v>46157</v>
      </c>
      <c r="X7" s="622" t="s">
        <v>3724</v>
      </c>
      <c r="Y7" s="521" t="s">
        <v>3720</v>
      </c>
    </row>
    <row r="8" s="521" customFormat="1" ht="36" customHeight="1" spans="1:25">
      <c r="A8" s="612">
        <f>ROW()-4</f>
        <v>4</v>
      </c>
      <c r="B8" s="613" t="s">
        <v>2042</v>
      </c>
      <c r="C8" s="48" t="s">
        <v>101</v>
      </c>
      <c r="D8" s="51" t="s">
        <v>3725</v>
      </c>
      <c r="E8" s="51" t="s">
        <v>3726</v>
      </c>
      <c r="F8" s="52">
        <v>46058</v>
      </c>
      <c r="G8" s="56">
        <v>46248</v>
      </c>
      <c r="H8" s="56">
        <v>46248</v>
      </c>
      <c r="I8" s="614">
        <v>46091</v>
      </c>
      <c r="J8" s="615">
        <f>SUM(L8:M8)</f>
        <v>12504</v>
      </c>
      <c r="K8" s="616">
        <v>8</v>
      </c>
      <c r="L8" s="617">
        <v>6252</v>
      </c>
      <c r="M8" s="617">
        <v>6252</v>
      </c>
      <c r="N8" s="624" t="s">
        <v>3727</v>
      </c>
      <c r="O8" s="613" t="s">
        <v>1661</v>
      </c>
      <c r="P8" s="613" t="s">
        <v>1661</v>
      </c>
      <c r="Q8" s="632" t="s">
        <v>607</v>
      </c>
      <c r="R8" s="613" t="s">
        <v>3727</v>
      </c>
      <c r="S8" s="613" t="s">
        <v>3717</v>
      </c>
      <c r="T8" s="619">
        <v>46248</v>
      </c>
      <c r="U8" s="620">
        <v>46259</v>
      </c>
      <c r="V8" s="621"/>
      <c r="W8" s="620"/>
      <c r="X8" s="622" t="s">
        <v>3728</v>
      </c>
      <c r="Y8" s="521" t="s">
        <v>3720</v>
      </c>
    </row>
    <row r="9" s="521" customFormat="1" ht="36" customHeight="1" spans="1:25">
      <c r="A9" s="633">
        <f>ROW()-4</f>
        <v>5</v>
      </c>
      <c r="B9" s="634" t="s">
        <v>2042</v>
      </c>
      <c r="C9" s="487" t="s">
        <v>101</v>
      </c>
      <c r="D9" s="573" t="s">
        <v>3729</v>
      </c>
      <c r="E9" s="573" t="s">
        <v>3730</v>
      </c>
      <c r="F9" s="489">
        <v>46249</v>
      </c>
      <c r="G9" s="635">
        <v>46392</v>
      </c>
      <c r="H9" s="635">
        <v>46392</v>
      </c>
      <c r="I9" s="636">
        <v>46275</v>
      </c>
      <c r="J9" s="637">
        <f>SUM(L9:M9)</f>
        <v>9800</v>
      </c>
      <c r="K9" s="638">
        <v>8</v>
      </c>
      <c r="L9" s="570">
        <v>4900</v>
      </c>
      <c r="M9" s="570">
        <v>4900</v>
      </c>
      <c r="N9" s="576" t="s">
        <v>373</v>
      </c>
      <c r="O9" s="556"/>
      <c r="P9" s="556"/>
      <c r="Q9" s="556"/>
      <c r="R9" s="556" t="s">
        <v>373</v>
      </c>
      <c r="S9" s="556" t="s">
        <v>3717</v>
      </c>
      <c r="T9" s="577">
        <v>46386</v>
      </c>
      <c r="U9" s="578"/>
      <c r="V9" s="578"/>
      <c r="W9" s="568"/>
      <c r="X9" s="579" t="s">
        <v>3731</v>
      </c>
      <c r="Y9" s="521" t="s">
        <v>3720</v>
      </c>
    </row>
    <row r="10" s="521" customFormat="1" ht="36" customHeight="1" spans="1:25">
      <c r="A10" s="555"/>
      <c r="B10" s="183"/>
      <c r="C10" s="96"/>
      <c r="D10" s="293"/>
      <c r="E10" s="293"/>
      <c r="F10" s="217"/>
      <c r="G10" s="82"/>
      <c r="H10" s="82"/>
      <c r="I10" s="562"/>
      <c r="J10" s="563"/>
      <c r="K10" s="564"/>
      <c r="L10" s="570"/>
      <c r="M10" s="570"/>
      <c r="N10" s="576"/>
      <c r="O10" s="556"/>
      <c r="P10" s="556"/>
      <c r="Q10" s="556"/>
      <c r="R10" s="556"/>
      <c r="S10" s="556"/>
      <c r="T10" s="577"/>
      <c r="U10" s="578"/>
      <c r="V10" s="571"/>
      <c r="W10" s="568"/>
      <c r="X10" s="579"/>
    </row>
    <row r="11" s="521" customFormat="1" ht="35.25" customHeight="1" spans="1:25">
      <c r="A11" s="555"/>
      <c r="B11" s="183"/>
      <c r="C11" s="183"/>
      <c r="D11" s="293"/>
      <c r="E11" s="293"/>
      <c r="F11" s="82"/>
      <c r="G11" s="82"/>
      <c r="H11" s="82"/>
      <c r="I11" s="562"/>
      <c r="J11" s="563"/>
      <c r="K11" s="580"/>
      <c r="L11" s="570"/>
      <c r="M11" s="570"/>
      <c r="N11" s="556"/>
      <c r="O11" s="556"/>
      <c r="P11" s="556"/>
      <c r="Q11" s="556" t="s">
        <v>898</v>
      </c>
      <c r="R11" s="556"/>
      <c r="S11" s="556"/>
      <c r="T11" s="581"/>
      <c r="U11" s="578"/>
      <c r="V11" s="568"/>
      <c r="W11" s="568"/>
      <c r="X11" s="579"/>
    </row>
    <row r="12" s="521" customFormat="1" ht="24.75" customHeight="1" spans="1:25">
      <c r="A12" s="582" t="s">
        <v>66</v>
      </c>
      <c r="B12" s="583"/>
      <c r="C12" s="583"/>
      <c r="D12" s="583"/>
      <c r="E12" s="583"/>
      <c r="F12" s="583"/>
      <c r="G12" s="583"/>
      <c r="H12" s="583"/>
      <c r="I12" s="583"/>
      <c r="J12" s="584">
        <f>SUM(J5:J11)</f>
        <v>42404</v>
      </c>
      <c r="K12" s="556"/>
      <c r="L12" s="570">
        <f>SUM(L5:L11)</f>
        <v>21202</v>
      </c>
      <c r="M12" s="570">
        <f>SUM(M5:M11)</f>
        <v>21202</v>
      </c>
      <c r="N12" s="556"/>
      <c r="O12" s="556"/>
      <c r="P12" s="556"/>
      <c r="Q12" s="556"/>
      <c r="R12" s="556"/>
      <c r="S12" s="556"/>
      <c r="T12" s="581"/>
      <c r="U12" s="568"/>
      <c r="V12" s="568"/>
      <c r="W12" s="568"/>
      <c r="X12" s="560"/>
    </row>
    <row r="13" s="523" customFormat="1" ht="17.1" customHeight="1" spans="1:25">
      <c r="A13" s="585" t="s">
        <v>3711</v>
      </c>
      <c r="B13" s="586"/>
      <c r="C13" s="586"/>
      <c r="D13" s="586"/>
      <c r="E13" s="586"/>
      <c r="F13" s="586"/>
      <c r="G13" s="586"/>
      <c r="H13" s="586"/>
      <c r="I13" s="586"/>
      <c r="J13" s="586">
        <f>SUM(L13:M13)</f>
        <v>32604</v>
      </c>
      <c r="K13" s="586"/>
      <c r="L13" s="639">
        <f>16302</f>
        <v>16302</v>
      </c>
      <c r="M13" s="639">
        <f>16302</f>
        <v>16302</v>
      </c>
      <c r="N13" s="586"/>
      <c r="O13" s="556"/>
      <c r="P13" s="556"/>
      <c r="Q13" s="556"/>
      <c r="R13" s="556"/>
      <c r="S13" s="587"/>
      <c r="T13" s="587"/>
      <c r="U13" s="587"/>
      <c r="V13" s="587"/>
      <c r="W13" s="587"/>
      <c r="X13" s="588"/>
    </row>
    <row r="14" s="523" customFormat="1" ht="25.5" customHeight="1" spans="1:25">
      <c r="A14" s="589" t="s">
        <v>67</v>
      </c>
      <c r="B14" s="590"/>
      <c r="C14" s="590"/>
      <c r="D14" s="590"/>
      <c r="E14" s="590"/>
      <c r="F14" s="590"/>
      <c r="G14" s="590"/>
      <c r="H14" s="590"/>
      <c r="I14" s="590"/>
      <c r="J14" s="591">
        <f>J13-J12</f>
        <v>-9800</v>
      </c>
      <c r="K14" s="592"/>
      <c r="L14" s="640">
        <f>L13-L12</f>
        <v>-4900</v>
      </c>
      <c r="M14" s="640">
        <f>M13-M12</f>
        <v>-4900</v>
      </c>
      <c r="N14" s="594"/>
      <c r="O14" s="594"/>
      <c r="P14" s="594"/>
      <c r="Q14" s="594"/>
      <c r="R14" s="594"/>
      <c r="S14" s="594"/>
      <c r="T14" s="594"/>
      <c r="U14" s="594"/>
      <c r="V14" s="594"/>
      <c r="W14" s="594"/>
      <c r="X14" s="595"/>
    </row>
    <row r="15" s="519" customFormat="1" spans="1:25">
      <c r="B15" s="596" t="s">
        <v>68</v>
      </c>
      <c r="C15" s="597"/>
      <c r="D15" s="598"/>
      <c r="E15" s="598"/>
      <c r="F15" s="598"/>
      <c r="G15" s="598"/>
      <c r="H15" s="598"/>
      <c r="I15" s="598"/>
      <c r="L15" s="641" t="s">
        <v>3732</v>
      </c>
      <c r="U15" s="599"/>
      <c r="V15" s="599"/>
      <c r="W15" s="599"/>
      <c r="X15" s="625"/>
    </row>
    <row r="16" s="519" customFormat="1" spans="1:25">
      <c r="U16" s="599"/>
      <c r="V16" s="599"/>
      <c r="W16" s="599"/>
      <c r="X16" s="625"/>
    </row>
    <row r="17" s="519" customFormat="1" spans="21:24">
      <c r="U17" s="599"/>
      <c r="V17" s="599"/>
      <c r="W17" s="599"/>
      <c r="X17" s="625"/>
    </row>
    <row r="18" s="519" customFormat="1" spans="21:24">
      <c r="U18" s="599"/>
      <c r="V18" s="599"/>
      <c r="W18" s="599"/>
      <c r="X18" s="625"/>
    </row>
    <row r="19" s="519" customFormat="1" spans="21:24">
      <c r="U19" s="599"/>
      <c r="V19" s="599"/>
      <c r="W19" s="599"/>
      <c r="X19" s="625"/>
    </row>
  </sheetData>
  <autoFilter xmlns:etc="http://www.wps.cn/officeDocument/2017/etCustomData" ref="A4:X15" etc:filterBottomFollowUsedRange="0">
    <filterColumn colId="22">
      <filters blank="1"/>
    </filterColumn>
    <extLst/>
  </autoFilter>
  <mergeCells count="29">
    <mergeCell ref="A1:S1"/>
    <mergeCell ref="T1:U1"/>
    <mergeCell ref="V1:X1"/>
    <mergeCell ref="A12:I12"/>
    <mergeCell ref="A13:I13"/>
    <mergeCell ref="A14:I1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L2:M3"/>
  </mergeCells>
  <conditionalFormatting sqref="J14:M14">
    <cfRule type="cellIs" dxfId="3" priority="1" operator="lessThan">
      <formula>1</formula>
    </cfRule>
    <cfRule type="cellIs" dxfId="5" priority="3" operator="lessThan">
      <formula>0</formula>
    </cfRule>
    <cfRule type="cellIs" dxfId="6" priority="4" operator="lessThan">
      <formula>0</formula>
    </cfRule>
  </conditionalFormatting>
  <conditionalFormatting sqref="J14 L14:M14">
    <cfRule type="cellIs" dxfId="3" priority="2" operator="lessThan">
      <formula>0</formula>
    </cfRule>
  </conditionalFormatting>
  <printOptions horizontalCentered="1"/>
  <pageMargins left="0.313888888888889" right="0.313888888888889" top="0.354166666666667" bottom="0" header="0.313888888888889" footer="0.313888888888889"/>
  <pageSetup paperSize="9" scale="66" fitToHeight="4" orientation="landscape" horizontalDpi="1200" verticalDpi="1200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Z18"/>
  <sheetViews>
    <sheetView workbookViewId="0">
      <pane xSplit="11" ySplit="4" topLeftCell="L10" activePane="bottomRight" state="frozen"/>
      <selection/>
      <selection pane="topRight"/>
      <selection pane="bottomLeft"/>
      <selection pane="bottomRight" activeCell="N18" sqref="N18"/>
    </sheetView>
  </sheetViews>
  <sheetFormatPr defaultColWidth="9" defaultRowHeight="14.25"/>
  <cols>
    <col min="1" max="1" width="4.125" style="288" customWidth="1"/>
    <col min="2" max="2" width="7.375" style="288" customWidth="1"/>
    <col min="3" max="3" width="6.375" style="288" customWidth="1"/>
    <col min="4" max="4" width="11.125" style="288" customWidth="1"/>
    <col min="5" max="5" width="10.375" style="288" customWidth="1"/>
    <col min="6" max="8" width="6.375" style="288" customWidth="1"/>
    <col min="9" max="9" width="5.875" style="288" customWidth="1"/>
    <col min="10" max="10" width="9" style="288"/>
    <col min="11" max="11" width="5.125" style="288" customWidth="1"/>
    <col min="12" max="13" width="9.625" style="288" customWidth="1"/>
    <col min="14" max="14" width="7.875" style="288" customWidth="1"/>
    <col min="15" max="17" width="5.625" style="288" customWidth="1"/>
    <col min="18" max="18" width="9.125" style="288" customWidth="1"/>
    <col min="19" max="19" width="21.5" style="288" customWidth="1"/>
    <col min="20" max="20" width="8.375" style="288" customWidth="1"/>
    <col min="21" max="21" width="8.625" style="288" customWidth="1"/>
    <col min="22" max="22" width="8" style="288" customWidth="1"/>
    <col min="23" max="23" width="9" style="288" customWidth="1"/>
    <col min="24" max="24" width="13.5" style="288" customWidth="1"/>
    <col min="25" max="25" width="17.125" style="288" customWidth="1"/>
    <col min="26" max="16384" width="9" style="288"/>
  </cols>
  <sheetData>
    <row r="1" s="519" customFormat="1" ht="35.1" customHeight="1" spans="1:26">
      <c r="A1" s="524" t="s">
        <v>3733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602" t="s">
        <v>1</v>
      </c>
      <c r="U1" s="603"/>
      <c r="V1" s="604">
        <f ca="1">TODAY()</f>
        <v>46277</v>
      </c>
      <c r="W1" s="604"/>
      <c r="X1" s="605"/>
    </row>
    <row r="2" s="520" customFormat="1" ht="19.5" customHeight="1" spans="1:26">
      <c r="A2" s="541" t="s">
        <v>2</v>
      </c>
      <c r="B2" s="542" t="s">
        <v>3</v>
      </c>
      <c r="C2" s="542" t="s">
        <v>4</v>
      </c>
      <c r="D2" s="542" t="s">
        <v>5</v>
      </c>
      <c r="E2" s="606" t="s">
        <v>6</v>
      </c>
      <c r="F2" s="542" t="s">
        <v>7</v>
      </c>
      <c r="G2" s="542" t="s">
        <v>8</v>
      </c>
      <c r="H2" s="542" t="s">
        <v>9</v>
      </c>
      <c r="I2" s="542" t="s">
        <v>10</v>
      </c>
      <c r="J2" s="542" t="s">
        <v>11</v>
      </c>
      <c r="K2" s="542" t="s">
        <v>12</v>
      </c>
      <c r="L2" s="607" t="s">
        <v>13</v>
      </c>
      <c r="M2" s="607"/>
      <c r="N2" s="545" t="s">
        <v>3242</v>
      </c>
      <c r="O2" s="608" t="s">
        <v>71</v>
      </c>
      <c r="P2" s="608" t="s">
        <v>1613</v>
      </c>
      <c r="Q2" s="547" t="s">
        <v>19</v>
      </c>
      <c r="R2" s="547" t="s">
        <v>3244</v>
      </c>
      <c r="S2" s="548" t="s">
        <v>21</v>
      </c>
      <c r="T2" s="549" t="s">
        <v>22</v>
      </c>
      <c r="U2" s="550" t="s">
        <v>23</v>
      </c>
      <c r="V2" s="550" t="s">
        <v>24</v>
      </c>
      <c r="W2" s="550" t="s">
        <v>25</v>
      </c>
      <c r="X2" s="551" t="s">
        <v>26</v>
      </c>
      <c r="Y2" s="609" t="s">
        <v>65</v>
      </c>
      <c r="Z2" s="609" t="s">
        <v>3734</v>
      </c>
    </row>
    <row r="3" s="520" customFormat="1" ht="19.5" customHeight="1" spans="1:26">
      <c r="A3" s="541"/>
      <c r="B3" s="542"/>
      <c r="C3" s="542"/>
      <c r="D3" s="542"/>
      <c r="E3" s="543"/>
      <c r="F3" s="542"/>
      <c r="G3" s="542"/>
      <c r="H3" s="542"/>
      <c r="I3" s="542"/>
      <c r="J3" s="542"/>
      <c r="K3" s="542"/>
      <c r="L3" s="610"/>
      <c r="M3" s="610"/>
      <c r="N3" s="545"/>
      <c r="O3" s="546"/>
      <c r="P3" s="546"/>
      <c r="Q3" s="547"/>
      <c r="R3" s="547"/>
      <c r="S3" s="548"/>
      <c r="T3" s="549"/>
      <c r="U3" s="550"/>
      <c r="V3" s="550"/>
      <c r="W3" s="550"/>
      <c r="X3" s="551"/>
      <c r="Y3" s="609"/>
      <c r="Z3" s="609"/>
    </row>
    <row r="4" s="520" customFormat="1" ht="24" customHeight="1" spans="1:26">
      <c r="A4" s="541"/>
      <c r="B4" s="542"/>
      <c r="C4" s="542"/>
      <c r="D4" s="542"/>
      <c r="E4" s="552"/>
      <c r="F4" s="542"/>
      <c r="G4" s="542"/>
      <c r="H4" s="542"/>
      <c r="I4" s="542"/>
      <c r="J4" s="542"/>
      <c r="K4" s="542"/>
      <c r="L4" s="566" t="s">
        <v>1594</v>
      </c>
      <c r="M4" s="611" t="s">
        <v>1595</v>
      </c>
      <c r="N4" s="549"/>
      <c r="O4" s="554"/>
      <c r="P4" s="554"/>
      <c r="Q4" s="547"/>
      <c r="R4" s="547"/>
      <c r="S4" s="548"/>
      <c r="T4" s="549"/>
      <c r="U4" s="550"/>
      <c r="V4" s="550"/>
      <c r="W4" s="550"/>
      <c r="X4" s="551"/>
      <c r="Y4" s="609"/>
      <c r="Z4" s="609"/>
    </row>
    <row r="5" s="522" customFormat="1" ht="24" customHeight="1" spans="1:26">
      <c r="A5" s="555">
        <f>ROW()-4</f>
        <v>1</v>
      </c>
      <c r="B5" s="556" t="s">
        <v>240</v>
      </c>
      <c r="C5" s="556"/>
      <c r="D5" s="556"/>
      <c r="E5" s="566"/>
      <c r="F5" s="556"/>
      <c r="G5" s="556"/>
      <c r="H5" s="556"/>
      <c r="I5" s="556"/>
      <c r="J5" s="556">
        <f>SUM(L5:M5)</f>
        <v>100</v>
      </c>
      <c r="K5" s="556"/>
      <c r="L5" s="566">
        <v>50</v>
      </c>
      <c r="M5" s="566">
        <v>50</v>
      </c>
      <c r="N5" s="558"/>
      <c r="O5" s="566" t="s">
        <v>3735</v>
      </c>
      <c r="P5" s="566"/>
      <c r="Q5" s="556"/>
      <c r="R5" s="556"/>
      <c r="S5" s="556"/>
      <c r="T5" s="559"/>
      <c r="U5" s="556"/>
      <c r="V5" s="556"/>
      <c r="W5" s="556"/>
      <c r="X5" s="560"/>
    </row>
    <row r="6" s="521" customFormat="1" ht="36" customHeight="1" spans="1:26">
      <c r="A6" s="612">
        <f>ROW()-4</f>
        <v>2</v>
      </c>
      <c r="B6" s="613" t="s">
        <v>2042</v>
      </c>
      <c r="C6" s="48" t="s">
        <v>101</v>
      </c>
      <c r="D6" s="51" t="s">
        <v>3736</v>
      </c>
      <c r="E6" s="51" t="s">
        <v>3737</v>
      </c>
      <c r="F6" s="52">
        <v>46048</v>
      </c>
      <c r="G6" s="56">
        <v>46129</v>
      </c>
      <c r="H6" s="56">
        <v>46129</v>
      </c>
      <c r="I6" s="614">
        <v>46105</v>
      </c>
      <c r="J6" s="615">
        <f>SUM(L6:M6)</f>
        <v>4000</v>
      </c>
      <c r="K6" s="616">
        <v>8</v>
      </c>
      <c r="L6" s="617">
        <v>2000</v>
      </c>
      <c r="M6" s="617">
        <v>2000</v>
      </c>
      <c r="N6" s="613" t="s">
        <v>2336</v>
      </c>
      <c r="O6" s="618" t="s">
        <v>3735</v>
      </c>
      <c r="P6" s="613" t="s">
        <v>1731</v>
      </c>
      <c r="Q6" s="613" t="s">
        <v>3723</v>
      </c>
      <c r="R6" s="613" t="s">
        <v>2336</v>
      </c>
      <c r="S6" s="613" t="s">
        <v>3738</v>
      </c>
      <c r="T6" s="619">
        <v>46129</v>
      </c>
      <c r="U6" s="620" t="s">
        <v>3718</v>
      </c>
      <c r="V6" s="621"/>
      <c r="W6" s="620">
        <v>46136</v>
      </c>
      <c r="X6" s="622" t="s">
        <v>3739</v>
      </c>
      <c r="Y6" s="521" t="s">
        <v>3740</v>
      </c>
    </row>
    <row r="7" s="521" customFormat="1" ht="36" customHeight="1" spans="1:26">
      <c r="A7" s="612">
        <f>ROW()-4</f>
        <v>3</v>
      </c>
      <c r="B7" s="613" t="s">
        <v>2042</v>
      </c>
      <c r="C7" s="48" t="s">
        <v>101</v>
      </c>
      <c r="D7" s="51" t="s">
        <v>3741</v>
      </c>
      <c r="E7" s="51" t="s">
        <v>3742</v>
      </c>
      <c r="F7" s="52">
        <v>46048</v>
      </c>
      <c r="G7" s="56">
        <v>46139</v>
      </c>
      <c r="H7" s="56">
        <v>46139</v>
      </c>
      <c r="I7" s="614">
        <v>46105</v>
      </c>
      <c r="J7" s="615">
        <f>SUM(L7:M7)</f>
        <v>5800</v>
      </c>
      <c r="K7" s="616">
        <v>8</v>
      </c>
      <c r="L7" s="617">
        <v>2900</v>
      </c>
      <c r="M7" s="617">
        <v>2900</v>
      </c>
      <c r="N7" s="613" t="s">
        <v>2336</v>
      </c>
      <c r="O7" s="618" t="s">
        <v>3735</v>
      </c>
      <c r="P7" s="613" t="s">
        <v>1731</v>
      </c>
      <c r="Q7" s="613" t="s">
        <v>3723</v>
      </c>
      <c r="R7" s="613" t="s">
        <v>2336</v>
      </c>
      <c r="S7" s="613" t="s">
        <v>3738</v>
      </c>
      <c r="T7" s="619">
        <v>46139</v>
      </c>
      <c r="U7" s="620">
        <v>46135</v>
      </c>
      <c r="V7" s="613"/>
      <c r="W7" s="620">
        <v>46150</v>
      </c>
      <c r="X7" s="622" t="s">
        <v>3739</v>
      </c>
      <c r="Y7" s="521" t="s">
        <v>3740</v>
      </c>
    </row>
    <row r="8" s="521" customFormat="1" ht="36" customHeight="1" spans="1:26">
      <c r="A8" s="612">
        <f>ROW()-4</f>
        <v>4</v>
      </c>
      <c r="B8" s="613" t="s">
        <v>2042</v>
      </c>
      <c r="C8" s="48" t="s">
        <v>101</v>
      </c>
      <c r="D8" s="51" t="s">
        <v>3743</v>
      </c>
      <c r="E8" s="51" t="s">
        <v>3744</v>
      </c>
      <c r="F8" s="52">
        <v>46048</v>
      </c>
      <c r="G8" s="56">
        <v>46139</v>
      </c>
      <c r="H8" s="56">
        <v>46139</v>
      </c>
      <c r="I8" s="614">
        <v>46105</v>
      </c>
      <c r="J8" s="615">
        <f>SUM(L8:M8)</f>
        <v>10200</v>
      </c>
      <c r="K8" s="616">
        <v>8</v>
      </c>
      <c r="L8" s="617">
        <v>5100</v>
      </c>
      <c r="M8" s="617">
        <v>5100</v>
      </c>
      <c r="N8" s="613" t="s">
        <v>2336</v>
      </c>
      <c r="O8" s="618" t="s">
        <v>3735</v>
      </c>
      <c r="P8" s="613" t="s">
        <v>1731</v>
      </c>
      <c r="Q8" s="613" t="s">
        <v>3723</v>
      </c>
      <c r="R8" s="613" t="s">
        <v>2336</v>
      </c>
      <c r="S8" s="613" t="s">
        <v>3738</v>
      </c>
      <c r="T8" s="619">
        <v>46139</v>
      </c>
      <c r="U8" s="620">
        <v>46135</v>
      </c>
      <c r="V8" s="623"/>
      <c r="W8" s="620">
        <v>46154</v>
      </c>
      <c r="X8" s="622" t="s">
        <v>3745</v>
      </c>
      <c r="Y8" s="521" t="s">
        <v>3740</v>
      </c>
    </row>
    <row r="9" s="521" customFormat="1" ht="36" customHeight="1" spans="1:26">
      <c r="A9" s="612">
        <v>5</v>
      </c>
      <c r="B9" s="48" t="s">
        <v>100</v>
      </c>
      <c r="C9" s="48" t="s">
        <v>101</v>
      </c>
      <c r="D9" s="51" t="s">
        <v>3746</v>
      </c>
      <c r="E9" s="51" t="s">
        <v>3747</v>
      </c>
      <c r="F9" s="52">
        <v>46100</v>
      </c>
      <c r="G9" s="56">
        <v>46168</v>
      </c>
      <c r="H9" s="56">
        <v>46168</v>
      </c>
      <c r="I9" s="614">
        <v>46150</v>
      </c>
      <c r="J9" s="615">
        <f>SUM(L9:M9)</f>
        <v>3000</v>
      </c>
      <c r="K9" s="616">
        <v>8</v>
      </c>
      <c r="L9" s="617">
        <v>1500</v>
      </c>
      <c r="M9" s="617">
        <v>1500</v>
      </c>
      <c r="N9" s="624" t="s">
        <v>499</v>
      </c>
      <c r="O9" s="613" t="s">
        <v>2504</v>
      </c>
      <c r="P9" s="613" t="s">
        <v>1739</v>
      </c>
      <c r="Q9" s="613" t="s">
        <v>1072</v>
      </c>
      <c r="R9" s="624" t="s">
        <v>499</v>
      </c>
      <c r="S9" s="613" t="s">
        <v>3748</v>
      </c>
      <c r="T9" s="619">
        <v>46168</v>
      </c>
      <c r="U9" s="620">
        <v>46170</v>
      </c>
      <c r="V9" s="613"/>
      <c r="W9" s="620">
        <v>46189</v>
      </c>
      <c r="X9" s="622" t="s">
        <v>3749</v>
      </c>
      <c r="Y9" s="521" t="s">
        <v>3750</v>
      </c>
    </row>
    <row r="10" s="521" customFormat="1" ht="35.25" customHeight="1" spans="1:26">
      <c r="A10" s="555"/>
      <c r="B10" s="183"/>
      <c r="C10" s="183"/>
      <c r="D10" s="293"/>
      <c r="E10" s="293"/>
      <c r="F10" s="82"/>
      <c r="G10" s="82"/>
      <c r="H10" s="82"/>
      <c r="I10" s="562"/>
      <c r="J10" s="563"/>
      <c r="K10" s="580"/>
      <c r="L10" s="580"/>
      <c r="M10" s="580"/>
      <c r="N10" s="556"/>
      <c r="O10" s="556"/>
      <c r="P10" s="556"/>
      <c r="Q10" s="556"/>
      <c r="R10" s="556"/>
      <c r="S10" s="556"/>
      <c r="T10" s="581"/>
      <c r="U10" s="578"/>
      <c r="V10" s="568"/>
      <c r="W10" s="568"/>
      <c r="X10" s="579"/>
    </row>
    <row r="11" s="521" customFormat="1" ht="24.75" customHeight="1" spans="1:26">
      <c r="A11" s="582" t="s">
        <v>66</v>
      </c>
      <c r="B11" s="583"/>
      <c r="C11" s="583"/>
      <c r="D11" s="583"/>
      <c r="E11" s="583"/>
      <c r="F11" s="583"/>
      <c r="G11" s="583"/>
      <c r="H11" s="583"/>
      <c r="I11" s="583"/>
      <c r="J11" s="584">
        <f>SUM(J5:J10)</f>
        <v>23100</v>
      </c>
      <c r="K11" s="556"/>
      <c r="L11" s="580">
        <f>SUM(L5:L10)</f>
        <v>11550</v>
      </c>
      <c r="M11" s="580">
        <f>SUM(M5:M10)</f>
        <v>11550</v>
      </c>
      <c r="N11" s="556"/>
      <c r="O11" s="556"/>
      <c r="P11" s="556"/>
      <c r="Q11" s="556"/>
      <c r="R11" s="556"/>
      <c r="S11" s="556"/>
      <c r="T11" s="581"/>
      <c r="U11" s="568"/>
      <c r="V11" s="568"/>
      <c r="W11" s="568"/>
      <c r="X11" s="560"/>
    </row>
    <row r="12" s="523" customFormat="1" ht="17.1" customHeight="1" spans="1:26">
      <c r="A12" s="585" t="s">
        <v>3711</v>
      </c>
      <c r="B12" s="586"/>
      <c r="C12" s="586"/>
      <c r="D12" s="586"/>
      <c r="E12" s="586"/>
      <c r="F12" s="586"/>
      <c r="G12" s="586"/>
      <c r="H12" s="586"/>
      <c r="I12" s="586"/>
      <c r="J12" s="586">
        <f>SUM(L12:M12)</f>
        <v>23100</v>
      </c>
      <c r="K12" s="586"/>
      <c r="L12" s="586">
        <f>10050+1500</f>
        <v>11550</v>
      </c>
      <c r="M12" s="586">
        <f>10050+1500</f>
        <v>11550</v>
      </c>
      <c r="N12" s="586"/>
      <c r="O12" s="556"/>
      <c r="P12" s="556"/>
      <c r="Q12" s="556"/>
      <c r="R12" s="556"/>
      <c r="S12" s="587"/>
      <c r="T12" s="587"/>
      <c r="U12" s="587"/>
      <c r="V12" s="587"/>
      <c r="W12" s="587"/>
      <c r="X12" s="588"/>
    </row>
    <row r="13" s="523" customFormat="1" ht="25.5" customHeight="1" spans="1:26">
      <c r="A13" s="589" t="s">
        <v>67</v>
      </c>
      <c r="B13" s="590"/>
      <c r="C13" s="590"/>
      <c r="D13" s="590"/>
      <c r="E13" s="590"/>
      <c r="F13" s="590"/>
      <c r="G13" s="590"/>
      <c r="H13" s="590"/>
      <c r="I13" s="590"/>
      <c r="J13" s="591">
        <f>J12-J11</f>
        <v>0</v>
      </c>
      <c r="K13" s="592"/>
      <c r="L13" s="593">
        <f>L12-L11</f>
        <v>0</v>
      </c>
      <c r="M13" s="593">
        <f>M12-M11</f>
        <v>0</v>
      </c>
      <c r="N13" s="594"/>
      <c r="O13" s="594"/>
      <c r="P13" s="594"/>
      <c r="Q13" s="594"/>
      <c r="R13" s="594"/>
      <c r="S13" s="594"/>
      <c r="T13" s="594"/>
      <c r="U13" s="594"/>
      <c r="V13" s="594"/>
      <c r="W13" s="594"/>
      <c r="X13" s="595"/>
    </row>
    <row r="14" s="519" customFormat="1" spans="1:26">
      <c r="B14" s="596" t="s">
        <v>68</v>
      </c>
      <c r="C14" s="597"/>
      <c r="D14" s="598"/>
      <c r="E14" s="598"/>
      <c r="F14" s="598"/>
      <c r="G14" s="598"/>
      <c r="H14" s="598"/>
      <c r="I14" s="598"/>
      <c r="U14" s="599"/>
      <c r="V14" s="599"/>
      <c r="W14" s="599"/>
      <c r="X14" s="625"/>
    </row>
    <row r="15" s="519" customFormat="1" spans="1:26">
      <c r="U15" s="599"/>
      <c r="V15" s="599"/>
      <c r="W15" s="599"/>
      <c r="X15" s="625"/>
    </row>
    <row r="16" s="601" customFormat="1" ht="21" customHeight="1" spans="1:26">
      <c r="G16" s="626" t="s">
        <v>3751</v>
      </c>
      <c r="H16" s="626"/>
      <c r="I16" s="627"/>
      <c r="J16" s="627"/>
      <c r="K16" s="601"/>
      <c r="L16" s="601"/>
      <c r="M16" s="601"/>
      <c r="N16" s="601"/>
      <c r="O16" s="601"/>
      <c r="P16" s="601"/>
      <c r="Q16" s="601"/>
      <c r="R16" s="601"/>
      <c r="S16" s="601"/>
      <c r="T16" s="601"/>
      <c r="U16" s="628"/>
      <c r="V16" s="628"/>
      <c r="W16" s="628"/>
      <c r="X16" s="629"/>
    </row>
    <row r="17" s="519" customFormat="1" ht="28" customHeight="1" spans="7:24">
      <c r="G17" s="626" t="s">
        <v>3752</v>
      </c>
      <c r="H17" s="627"/>
      <c r="I17" s="627"/>
      <c r="J17" s="627"/>
      <c r="U17" s="599"/>
      <c r="V17" s="599"/>
      <c r="W17" s="599"/>
      <c r="X17" s="625"/>
    </row>
    <row r="18" s="519" customFormat="1" ht="28" customHeight="1" spans="7:24">
      <c r="G18" s="626" t="s">
        <v>3753</v>
      </c>
      <c r="H18" s="627"/>
      <c r="I18" s="627"/>
      <c r="J18" s="627"/>
      <c r="U18" s="599"/>
      <c r="V18" s="599"/>
      <c r="W18" s="599"/>
      <c r="X18" s="625"/>
    </row>
  </sheetData>
  <autoFilter xmlns:etc="http://www.wps.cn/officeDocument/2017/etCustomData" ref="A4:X9" etc:filterBottomFollowUsedRange="0">
    <extLst/>
  </autoFilter>
  <mergeCells count="31">
    <mergeCell ref="A1:S1"/>
    <mergeCell ref="T1:U1"/>
    <mergeCell ref="V1:X1"/>
    <mergeCell ref="A11:I11"/>
    <mergeCell ref="A12:I12"/>
    <mergeCell ref="A13:I1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L2:M3"/>
  </mergeCells>
  <conditionalFormatting sqref="J13">
    <cfRule type="cellIs" dxfId="1" priority="1" operator="lessThan">
      <formula>0</formula>
    </cfRule>
    <cfRule type="cellIs" dxfId="3" priority="2" operator="lessThan">
      <formula>0</formula>
    </cfRule>
  </conditionalFormatting>
  <conditionalFormatting sqref="J13:M13">
    <cfRule type="cellIs" dxfId="3" priority="4" operator="lessThan">
      <formula>1</formula>
    </cfRule>
    <cfRule type="cellIs" dxfId="5" priority="6" operator="lessThan">
      <formula>0</formula>
    </cfRule>
    <cfRule type="cellIs" dxfId="6" priority="7" operator="lessThan">
      <formula>0</formula>
    </cfRule>
  </conditionalFormatting>
  <conditionalFormatting sqref="L13:M13">
    <cfRule type="cellIs" dxfId="1" priority="3" operator="lessThan">
      <formula>0</formula>
    </cfRule>
    <cfRule type="cellIs" dxfId="3" priority="5" operator="lessThan">
      <formula>0</formula>
    </cfRule>
  </conditionalFormatting>
  <printOptions horizontalCentered="1"/>
  <pageMargins left="0.314583333333333" right="0.314583333333333" top="0.354166666666667" bottom="0" header="0.314583333333333" footer="0.314583333333333"/>
  <pageSetup paperSize="9" scale="56" fitToHeight="4" orientation="landscape" horizontalDpi="1200" verticalDpi="1200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Y33"/>
  <sheetViews>
    <sheetView workbookViewId="0">
      <pane xSplit="11" ySplit="4" topLeftCell="L7" activePane="bottomRight" state="frozen"/>
      <selection/>
      <selection pane="topRight"/>
      <selection pane="bottomLeft"/>
      <selection pane="bottomRight" activeCell="S17" sqref="S17"/>
    </sheetView>
  </sheetViews>
  <sheetFormatPr defaultColWidth="9" defaultRowHeight="14.25"/>
  <cols>
    <col min="1" max="1" width="4.125" style="288" customWidth="1"/>
    <col min="2" max="2" width="7.375" style="288" customWidth="1"/>
    <col min="3" max="3" width="6.375" style="288" customWidth="1"/>
    <col min="4" max="4" width="11.125" style="288" customWidth="1"/>
    <col min="5" max="5" width="10.375" style="288" customWidth="1"/>
    <col min="6" max="8" width="6.375" style="288" customWidth="1"/>
    <col min="9" max="9" width="5.875" style="288" customWidth="1"/>
    <col min="10" max="10" width="9" style="288"/>
    <col min="11" max="11" width="5.125" style="288" customWidth="1"/>
    <col min="12" max="13" width="9.625" style="288" customWidth="1"/>
    <col min="14" max="14" width="8.875" style="288" customWidth="1"/>
    <col min="15" max="17" width="5.625" style="288" customWidth="1"/>
    <col min="18" max="18" width="8.625" style="288" customWidth="1"/>
    <col min="19" max="19" width="21.5" style="288" customWidth="1"/>
    <col min="20" max="20" width="8.375" style="288" customWidth="1"/>
    <col min="21" max="21" width="8.625" style="288" customWidth="1"/>
    <col min="22" max="22" width="8" style="288" customWidth="1"/>
    <col min="23" max="23" width="9" style="288" customWidth="1"/>
    <col min="24" max="24" width="13.5" style="6" customWidth="1"/>
    <col min="25" max="25" width="18.625" style="288" customWidth="1"/>
    <col min="26" max="16384" width="9" style="288"/>
  </cols>
  <sheetData>
    <row r="1" s="519" customFormat="1" ht="35.1" customHeight="1" spans="1:25">
      <c r="A1" s="524" t="s">
        <v>3754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6" t="s">
        <v>1</v>
      </c>
      <c r="U1" s="527"/>
      <c r="V1" s="528">
        <f ca="1">TODAY()</f>
        <v>46277</v>
      </c>
      <c r="W1" s="528"/>
      <c r="X1" s="529"/>
    </row>
    <row r="2" s="520" customFormat="1" ht="19.5" customHeight="1" spans="1:25">
      <c r="A2" s="530" t="s">
        <v>2</v>
      </c>
      <c r="B2" s="531" t="s">
        <v>3</v>
      </c>
      <c r="C2" s="531" t="s">
        <v>4</v>
      </c>
      <c r="D2" s="531" t="s">
        <v>5</v>
      </c>
      <c r="E2" s="532" t="s">
        <v>6</v>
      </c>
      <c r="F2" s="531" t="s">
        <v>7</v>
      </c>
      <c r="G2" s="531" t="s">
        <v>8</v>
      </c>
      <c r="H2" s="531" t="s">
        <v>9</v>
      </c>
      <c r="I2" s="531" t="s">
        <v>10</v>
      </c>
      <c r="J2" s="531" t="s">
        <v>11</v>
      </c>
      <c r="K2" s="531" t="s">
        <v>12</v>
      </c>
      <c r="L2" s="533" t="s">
        <v>13</v>
      </c>
      <c r="M2" s="533"/>
      <c r="N2" s="534" t="s">
        <v>3755</v>
      </c>
      <c r="O2" s="535" t="s">
        <v>71</v>
      </c>
      <c r="P2" s="535" t="s">
        <v>1613</v>
      </c>
      <c r="Q2" s="536" t="s">
        <v>19</v>
      </c>
      <c r="R2" s="536" t="s">
        <v>3244</v>
      </c>
      <c r="S2" s="537" t="s">
        <v>21</v>
      </c>
      <c r="T2" s="538" t="s">
        <v>22</v>
      </c>
      <c r="U2" s="539" t="s">
        <v>23</v>
      </c>
      <c r="V2" s="539" t="s">
        <v>24</v>
      </c>
      <c r="W2" s="539" t="s">
        <v>25</v>
      </c>
      <c r="X2" s="540" t="s">
        <v>26</v>
      </c>
    </row>
    <row r="3" s="520" customFormat="1" ht="19.5" customHeight="1" spans="1:25">
      <c r="A3" s="541"/>
      <c r="B3" s="542"/>
      <c r="C3" s="542"/>
      <c r="D3" s="542"/>
      <c r="E3" s="543"/>
      <c r="F3" s="542"/>
      <c r="G3" s="542"/>
      <c r="H3" s="542"/>
      <c r="I3" s="542"/>
      <c r="J3" s="542"/>
      <c r="K3" s="542"/>
      <c r="L3" s="544"/>
      <c r="M3" s="544"/>
      <c r="N3" s="545"/>
      <c r="O3" s="546"/>
      <c r="P3" s="546"/>
      <c r="Q3" s="547"/>
      <c r="R3" s="547"/>
      <c r="S3" s="548"/>
      <c r="T3" s="549"/>
      <c r="U3" s="550"/>
      <c r="V3" s="550"/>
      <c r="W3" s="550"/>
      <c r="X3" s="551"/>
    </row>
    <row r="4" s="520" customFormat="1" ht="24" customHeight="1" spans="1:25">
      <c r="A4" s="541"/>
      <c r="B4" s="542"/>
      <c r="C4" s="542"/>
      <c r="D4" s="542"/>
      <c r="E4" s="552"/>
      <c r="F4" s="542"/>
      <c r="G4" s="542"/>
      <c r="H4" s="542"/>
      <c r="I4" s="542"/>
      <c r="J4" s="542"/>
      <c r="K4" s="542"/>
      <c r="L4" s="553" t="s">
        <v>2243</v>
      </c>
      <c r="M4" s="264" t="s">
        <v>2244</v>
      </c>
      <c r="N4" s="549"/>
      <c r="O4" s="554"/>
      <c r="P4" s="554"/>
      <c r="Q4" s="547"/>
      <c r="R4" s="547"/>
      <c r="S4" s="548"/>
      <c r="T4" s="549"/>
      <c r="U4" s="550"/>
      <c r="V4" s="550"/>
      <c r="W4" s="550"/>
      <c r="X4" s="551"/>
    </row>
    <row r="5" s="521" customFormat="1" ht="36" customHeight="1" spans="1:25">
      <c r="A5" s="555">
        <f t="shared" ref="A5:A24" si="0">ROW()-4</f>
        <v>1</v>
      </c>
      <c r="B5" s="556" t="s">
        <v>240</v>
      </c>
      <c r="C5" s="556"/>
      <c r="D5" s="556"/>
      <c r="E5" s="556"/>
      <c r="F5" s="556"/>
      <c r="G5" s="556"/>
      <c r="H5" s="556"/>
      <c r="I5" s="556"/>
      <c r="J5" s="556">
        <f t="shared" ref="J5:J23" si="1">SUM(L5:M5)</f>
        <v>100</v>
      </c>
      <c r="K5" s="556"/>
      <c r="L5" s="557">
        <v>50</v>
      </c>
      <c r="M5" s="557">
        <v>50</v>
      </c>
      <c r="N5" s="558"/>
      <c r="O5" s="556"/>
      <c r="P5" s="556"/>
      <c r="Q5" s="556"/>
      <c r="R5" s="556"/>
      <c r="S5" s="556"/>
      <c r="T5" s="559"/>
      <c r="U5" s="556"/>
      <c r="V5" s="556"/>
      <c r="W5" s="556"/>
      <c r="X5" s="560"/>
      <c r="Y5" s="521" t="s">
        <v>3756</v>
      </c>
    </row>
    <row r="6" s="522" customFormat="1" ht="30" customHeight="1" spans="1:25">
      <c r="A6" s="555">
        <f t="shared" si="0"/>
        <v>2</v>
      </c>
      <c r="B6" s="556" t="s">
        <v>3757</v>
      </c>
      <c r="C6" s="183" t="s">
        <v>101</v>
      </c>
      <c r="D6" s="293" t="s">
        <v>3758</v>
      </c>
      <c r="E6" s="561" t="s">
        <v>3759</v>
      </c>
      <c r="F6" s="217">
        <v>46169</v>
      </c>
      <c r="G6" s="82">
        <v>46283</v>
      </c>
      <c r="H6" s="82">
        <v>46283</v>
      </c>
      <c r="I6" s="562">
        <v>46237</v>
      </c>
      <c r="J6" s="563">
        <f t="shared" si="1"/>
        <v>1192</v>
      </c>
      <c r="K6" s="564">
        <v>8</v>
      </c>
      <c r="L6" s="565">
        <v>596</v>
      </c>
      <c r="M6" s="565">
        <v>596</v>
      </c>
      <c r="N6" s="558" t="s">
        <v>3760</v>
      </c>
      <c r="O6" s="566" t="s">
        <v>3761</v>
      </c>
      <c r="P6" s="566" t="s">
        <v>3761</v>
      </c>
      <c r="Q6" s="556" t="s">
        <v>3762</v>
      </c>
      <c r="R6" s="556" t="s">
        <v>3760</v>
      </c>
      <c r="S6" s="556" t="s">
        <v>3763</v>
      </c>
      <c r="T6" s="567">
        <v>46283</v>
      </c>
      <c r="U6" s="568">
        <v>46288</v>
      </c>
      <c r="V6" s="568" t="s">
        <v>1604</v>
      </c>
      <c r="W6" s="568"/>
      <c r="X6" s="569">
        <v>7509603</v>
      </c>
      <c r="Y6" s="521" t="s">
        <v>3756</v>
      </c>
    </row>
    <row r="7" s="521" customFormat="1" ht="36" customHeight="1" spans="1:25">
      <c r="A7" s="555">
        <f t="shared" si="0"/>
        <v>3</v>
      </c>
      <c r="B7" s="556" t="s">
        <v>3757</v>
      </c>
      <c r="C7" s="183" t="s">
        <v>101</v>
      </c>
      <c r="D7" s="293" t="s">
        <v>3764</v>
      </c>
      <c r="E7" s="561" t="s">
        <v>3765</v>
      </c>
      <c r="F7" s="217">
        <v>46169</v>
      </c>
      <c r="G7" s="82">
        <v>46283</v>
      </c>
      <c r="H7" s="82">
        <v>46283</v>
      </c>
      <c r="I7" s="562">
        <v>46237</v>
      </c>
      <c r="J7" s="563">
        <f t="shared" si="1"/>
        <v>1448</v>
      </c>
      <c r="K7" s="564">
        <v>8</v>
      </c>
      <c r="L7" s="570">
        <v>724</v>
      </c>
      <c r="M7" s="570">
        <v>724</v>
      </c>
      <c r="N7" s="558" t="s">
        <v>3760</v>
      </c>
      <c r="O7" s="566" t="s">
        <v>3761</v>
      </c>
      <c r="P7" s="566" t="s">
        <v>3761</v>
      </c>
      <c r="Q7" s="556" t="s">
        <v>3762</v>
      </c>
      <c r="R7" s="556" t="s">
        <v>3760</v>
      </c>
      <c r="S7" s="556" t="s">
        <v>3763</v>
      </c>
      <c r="T7" s="567">
        <v>46283</v>
      </c>
      <c r="U7" s="568">
        <v>46288</v>
      </c>
      <c r="V7" s="571"/>
      <c r="W7" s="568"/>
      <c r="X7" s="569">
        <v>9674701</v>
      </c>
      <c r="Y7" s="521" t="s">
        <v>3756</v>
      </c>
    </row>
    <row r="8" s="521" customFormat="1" ht="36" customHeight="1" spans="1:25">
      <c r="A8" s="555">
        <f t="shared" si="0"/>
        <v>4</v>
      </c>
      <c r="B8" s="556" t="s">
        <v>3757</v>
      </c>
      <c r="C8" s="183" t="s">
        <v>101</v>
      </c>
      <c r="D8" s="293" t="s">
        <v>3766</v>
      </c>
      <c r="E8" s="561" t="s">
        <v>3767</v>
      </c>
      <c r="F8" s="217">
        <v>46169</v>
      </c>
      <c r="G8" s="82">
        <v>46283</v>
      </c>
      <c r="H8" s="82">
        <v>46283</v>
      </c>
      <c r="I8" s="562">
        <v>46237</v>
      </c>
      <c r="J8" s="563">
        <f t="shared" si="1"/>
        <v>1008</v>
      </c>
      <c r="K8" s="564">
        <v>8</v>
      </c>
      <c r="L8" s="570">
        <v>504</v>
      </c>
      <c r="M8" s="570">
        <v>504</v>
      </c>
      <c r="N8" s="558" t="s">
        <v>3760</v>
      </c>
      <c r="O8" s="566" t="s">
        <v>3761</v>
      </c>
      <c r="P8" s="566" t="s">
        <v>3761</v>
      </c>
      <c r="Q8" s="556" t="s">
        <v>3762</v>
      </c>
      <c r="R8" s="556" t="s">
        <v>3760</v>
      </c>
      <c r="S8" s="556" t="s">
        <v>3763</v>
      </c>
      <c r="T8" s="567">
        <v>46283</v>
      </c>
      <c r="U8" s="568">
        <v>46288</v>
      </c>
      <c r="V8" s="571"/>
      <c r="W8" s="568"/>
      <c r="X8" s="569">
        <v>9008752</v>
      </c>
      <c r="Y8" s="521" t="s">
        <v>3756</v>
      </c>
    </row>
    <row r="9" s="521" customFormat="1" ht="36" customHeight="1" spans="1:25">
      <c r="A9" s="555">
        <f t="shared" si="0"/>
        <v>5</v>
      </c>
      <c r="B9" s="556" t="s">
        <v>3757</v>
      </c>
      <c r="C9" s="183" t="s">
        <v>101</v>
      </c>
      <c r="D9" s="293" t="s">
        <v>3768</v>
      </c>
      <c r="E9" s="561" t="s">
        <v>3769</v>
      </c>
      <c r="F9" s="217">
        <v>46169</v>
      </c>
      <c r="G9" s="82">
        <v>46283</v>
      </c>
      <c r="H9" s="82">
        <v>46283</v>
      </c>
      <c r="I9" s="562">
        <v>46237</v>
      </c>
      <c r="J9" s="563">
        <f t="shared" si="1"/>
        <v>1064</v>
      </c>
      <c r="K9" s="564">
        <v>8</v>
      </c>
      <c r="L9" s="570">
        <v>532</v>
      </c>
      <c r="M9" s="570">
        <v>532</v>
      </c>
      <c r="N9" s="558" t="s">
        <v>3760</v>
      </c>
      <c r="O9" s="566" t="s">
        <v>3761</v>
      </c>
      <c r="P9" s="566" t="s">
        <v>3761</v>
      </c>
      <c r="Q9" s="556" t="s">
        <v>3762</v>
      </c>
      <c r="R9" s="556" t="s">
        <v>3760</v>
      </c>
      <c r="S9" s="556" t="s">
        <v>3763</v>
      </c>
      <c r="T9" s="567">
        <v>46283</v>
      </c>
      <c r="U9" s="568">
        <v>46288</v>
      </c>
      <c r="V9" s="571"/>
      <c r="W9" s="568"/>
      <c r="X9" s="569">
        <v>8604634</v>
      </c>
      <c r="Y9" s="521" t="s">
        <v>3756</v>
      </c>
    </row>
    <row r="10" s="521" customFormat="1" ht="36" customHeight="1" spans="1:25">
      <c r="A10" s="555">
        <f t="shared" si="0"/>
        <v>6</v>
      </c>
      <c r="B10" s="556" t="s">
        <v>3757</v>
      </c>
      <c r="C10" s="183" t="s">
        <v>101</v>
      </c>
      <c r="D10" s="293" t="s">
        <v>3770</v>
      </c>
      <c r="E10" s="561" t="s">
        <v>3771</v>
      </c>
      <c r="F10" s="217">
        <v>46169</v>
      </c>
      <c r="G10" s="82">
        <v>46283</v>
      </c>
      <c r="H10" s="82">
        <v>46283</v>
      </c>
      <c r="I10" s="562">
        <v>46237</v>
      </c>
      <c r="J10" s="563">
        <f t="shared" si="1"/>
        <v>472</v>
      </c>
      <c r="K10" s="564">
        <v>8</v>
      </c>
      <c r="L10" s="570">
        <v>236</v>
      </c>
      <c r="M10" s="570">
        <v>236</v>
      </c>
      <c r="N10" s="558" t="s">
        <v>3760</v>
      </c>
      <c r="O10" s="566" t="s">
        <v>3761</v>
      </c>
      <c r="P10" s="566" t="s">
        <v>3761</v>
      </c>
      <c r="Q10" s="556" t="s">
        <v>3762</v>
      </c>
      <c r="R10" s="556" t="s">
        <v>3760</v>
      </c>
      <c r="S10" s="556" t="s">
        <v>3763</v>
      </c>
      <c r="T10" s="567">
        <v>46283</v>
      </c>
      <c r="U10" s="568">
        <v>46288</v>
      </c>
      <c r="V10" s="571"/>
      <c r="W10" s="568"/>
      <c r="X10" s="569">
        <v>6652518</v>
      </c>
      <c r="Y10" s="521" t="s">
        <v>3756</v>
      </c>
    </row>
    <row r="11" s="521" customFormat="1" ht="36" customHeight="1" spans="1:25">
      <c r="A11" s="555">
        <f t="shared" si="0"/>
        <v>7</v>
      </c>
      <c r="B11" s="556" t="s">
        <v>3757</v>
      </c>
      <c r="C11" s="183" t="s">
        <v>101</v>
      </c>
      <c r="D11" s="293" t="s">
        <v>3772</v>
      </c>
      <c r="E11" s="561" t="s">
        <v>3773</v>
      </c>
      <c r="F11" s="217">
        <v>46169</v>
      </c>
      <c r="G11" s="82">
        <v>46283</v>
      </c>
      <c r="H11" s="82">
        <v>46283</v>
      </c>
      <c r="I11" s="562">
        <v>46237</v>
      </c>
      <c r="J11" s="563">
        <f t="shared" si="1"/>
        <v>768</v>
      </c>
      <c r="K11" s="564">
        <v>8</v>
      </c>
      <c r="L11" s="570">
        <v>384</v>
      </c>
      <c r="M11" s="570">
        <v>384</v>
      </c>
      <c r="N11" s="558" t="s">
        <v>3760</v>
      </c>
      <c r="O11" s="566" t="s">
        <v>3761</v>
      </c>
      <c r="P11" s="566" t="s">
        <v>3761</v>
      </c>
      <c r="Q11" s="556" t="s">
        <v>3762</v>
      </c>
      <c r="R11" s="556" t="s">
        <v>3760</v>
      </c>
      <c r="S11" s="556" t="s">
        <v>3763</v>
      </c>
      <c r="T11" s="567">
        <v>46283</v>
      </c>
      <c r="U11" s="568">
        <v>46288</v>
      </c>
      <c r="V11" s="571"/>
      <c r="W11" s="568"/>
      <c r="X11" s="569">
        <v>5663422</v>
      </c>
      <c r="Y11" s="521" t="s">
        <v>3756</v>
      </c>
    </row>
    <row r="12" s="521" customFormat="1" ht="36" customHeight="1" spans="1:25">
      <c r="A12" s="555">
        <f t="shared" si="0"/>
        <v>8</v>
      </c>
      <c r="B12" s="556" t="s">
        <v>3757</v>
      </c>
      <c r="C12" s="183" t="s">
        <v>101</v>
      </c>
      <c r="D12" s="293" t="s">
        <v>3774</v>
      </c>
      <c r="E12" s="561" t="s">
        <v>3775</v>
      </c>
      <c r="F12" s="217">
        <v>46169</v>
      </c>
      <c r="G12" s="82">
        <v>46283</v>
      </c>
      <c r="H12" s="82">
        <v>46283</v>
      </c>
      <c r="I12" s="562">
        <v>46237</v>
      </c>
      <c r="J12" s="563">
        <f t="shared" si="1"/>
        <v>824</v>
      </c>
      <c r="K12" s="564">
        <v>8</v>
      </c>
      <c r="L12" s="570">
        <v>412</v>
      </c>
      <c r="M12" s="570">
        <v>412</v>
      </c>
      <c r="N12" s="558" t="s">
        <v>3760</v>
      </c>
      <c r="O12" s="566" t="s">
        <v>3761</v>
      </c>
      <c r="P12" s="566" t="s">
        <v>3761</v>
      </c>
      <c r="Q12" s="556" t="s">
        <v>3762</v>
      </c>
      <c r="R12" s="556" t="s">
        <v>3760</v>
      </c>
      <c r="S12" s="556" t="s">
        <v>3763</v>
      </c>
      <c r="T12" s="567">
        <v>46283</v>
      </c>
      <c r="U12" s="568">
        <v>46288</v>
      </c>
      <c r="V12" s="571"/>
      <c r="W12" s="568"/>
      <c r="X12" s="569">
        <v>5490260</v>
      </c>
      <c r="Y12" s="521" t="s">
        <v>3756</v>
      </c>
    </row>
    <row r="13" s="521" customFormat="1" ht="36" customHeight="1" spans="1:25">
      <c r="A13" s="555">
        <f t="shared" si="0"/>
        <v>9</v>
      </c>
      <c r="B13" s="556" t="s">
        <v>3757</v>
      </c>
      <c r="C13" s="183" t="s">
        <v>101</v>
      </c>
      <c r="D13" s="293" t="s">
        <v>3776</v>
      </c>
      <c r="E13" s="561" t="s">
        <v>3777</v>
      </c>
      <c r="F13" s="217">
        <v>46169</v>
      </c>
      <c r="G13" s="82">
        <v>46283</v>
      </c>
      <c r="H13" s="82">
        <v>46283</v>
      </c>
      <c r="I13" s="562">
        <v>46237</v>
      </c>
      <c r="J13" s="563">
        <f t="shared" si="1"/>
        <v>640</v>
      </c>
      <c r="K13" s="564">
        <v>8</v>
      </c>
      <c r="L13" s="570">
        <v>320</v>
      </c>
      <c r="M13" s="570">
        <v>320</v>
      </c>
      <c r="N13" s="558" t="s">
        <v>3760</v>
      </c>
      <c r="O13" s="566" t="s">
        <v>3761</v>
      </c>
      <c r="P13" s="566" t="s">
        <v>3761</v>
      </c>
      <c r="Q13" s="556" t="s">
        <v>3762</v>
      </c>
      <c r="R13" s="556" t="s">
        <v>3760</v>
      </c>
      <c r="S13" s="556" t="s">
        <v>3763</v>
      </c>
      <c r="T13" s="567">
        <v>46283</v>
      </c>
      <c r="U13" s="568">
        <v>46288</v>
      </c>
      <c r="V13" s="571"/>
      <c r="W13" s="568"/>
      <c r="X13" s="569">
        <v>5489962</v>
      </c>
      <c r="Y13" s="521" t="s">
        <v>3756</v>
      </c>
    </row>
    <row r="14" s="521" customFormat="1" ht="36" customHeight="1" spans="1:25">
      <c r="A14" s="555">
        <f t="shared" si="0"/>
        <v>10</v>
      </c>
      <c r="B14" s="556" t="s">
        <v>3757</v>
      </c>
      <c r="C14" s="183" t="s">
        <v>101</v>
      </c>
      <c r="D14" s="293" t="s">
        <v>3778</v>
      </c>
      <c r="E14" s="561" t="s">
        <v>3779</v>
      </c>
      <c r="F14" s="217">
        <v>46169</v>
      </c>
      <c r="G14" s="82">
        <v>46283</v>
      </c>
      <c r="H14" s="82">
        <v>46283</v>
      </c>
      <c r="I14" s="562">
        <v>46237</v>
      </c>
      <c r="J14" s="563">
        <f t="shared" si="1"/>
        <v>688</v>
      </c>
      <c r="K14" s="564">
        <v>8</v>
      </c>
      <c r="L14" s="570">
        <v>344</v>
      </c>
      <c r="M14" s="570">
        <v>344</v>
      </c>
      <c r="N14" s="558" t="s">
        <v>3760</v>
      </c>
      <c r="O14" s="566" t="s">
        <v>3761</v>
      </c>
      <c r="P14" s="566" t="s">
        <v>3761</v>
      </c>
      <c r="Q14" s="556" t="s">
        <v>3762</v>
      </c>
      <c r="R14" s="556" t="s">
        <v>3760</v>
      </c>
      <c r="S14" s="556" t="s">
        <v>3763</v>
      </c>
      <c r="T14" s="567">
        <v>46283</v>
      </c>
      <c r="U14" s="568">
        <v>46288</v>
      </c>
      <c r="V14" s="571"/>
      <c r="W14" s="568"/>
      <c r="X14" s="569">
        <v>4812626</v>
      </c>
      <c r="Y14" s="521" t="s">
        <v>3756</v>
      </c>
    </row>
    <row r="15" s="521" customFormat="1" ht="36" customHeight="1" spans="1:25">
      <c r="A15" s="555">
        <f t="shared" si="0"/>
        <v>11</v>
      </c>
      <c r="B15" s="556" t="s">
        <v>3757</v>
      </c>
      <c r="C15" s="183" t="s">
        <v>101</v>
      </c>
      <c r="D15" s="293" t="s">
        <v>3780</v>
      </c>
      <c r="E15" s="561" t="s">
        <v>3781</v>
      </c>
      <c r="F15" s="217">
        <v>46169</v>
      </c>
      <c r="G15" s="82">
        <v>46283</v>
      </c>
      <c r="H15" s="82">
        <v>46283</v>
      </c>
      <c r="I15" s="562">
        <v>46237</v>
      </c>
      <c r="J15" s="563">
        <f t="shared" si="1"/>
        <v>1184</v>
      </c>
      <c r="K15" s="564">
        <v>8</v>
      </c>
      <c r="L15" s="570">
        <v>592</v>
      </c>
      <c r="M15" s="570">
        <v>592</v>
      </c>
      <c r="N15" s="558" t="s">
        <v>3760</v>
      </c>
      <c r="O15" s="566" t="s">
        <v>3761</v>
      </c>
      <c r="P15" s="566" t="s">
        <v>3761</v>
      </c>
      <c r="Q15" s="556" t="s">
        <v>3762</v>
      </c>
      <c r="R15" s="556" t="s">
        <v>3760</v>
      </c>
      <c r="S15" s="556" t="s">
        <v>3763</v>
      </c>
      <c r="T15" s="567">
        <v>46283</v>
      </c>
      <c r="U15" s="568">
        <v>46288</v>
      </c>
      <c r="V15" s="571"/>
      <c r="W15" s="568"/>
      <c r="X15" s="569">
        <v>3154700</v>
      </c>
      <c r="Y15" s="521" t="s">
        <v>3756</v>
      </c>
    </row>
    <row r="16" s="521" customFormat="1" ht="36" customHeight="1" spans="1:25">
      <c r="A16" s="555">
        <f t="shared" si="0"/>
        <v>12</v>
      </c>
      <c r="B16" s="556" t="s">
        <v>3757</v>
      </c>
      <c r="C16" s="183" t="s">
        <v>101</v>
      </c>
      <c r="D16" s="293" t="s">
        <v>3782</v>
      </c>
      <c r="E16" s="561" t="s">
        <v>3783</v>
      </c>
      <c r="F16" s="217">
        <v>46169</v>
      </c>
      <c r="G16" s="82">
        <v>46283</v>
      </c>
      <c r="H16" s="82">
        <v>46283</v>
      </c>
      <c r="I16" s="562">
        <v>46237</v>
      </c>
      <c r="J16" s="563">
        <f t="shared" si="1"/>
        <v>776</v>
      </c>
      <c r="K16" s="564">
        <v>8</v>
      </c>
      <c r="L16" s="570">
        <v>388</v>
      </c>
      <c r="M16" s="570">
        <v>388</v>
      </c>
      <c r="N16" s="558" t="s">
        <v>3760</v>
      </c>
      <c r="O16" s="566" t="s">
        <v>3761</v>
      </c>
      <c r="P16" s="566" t="s">
        <v>3761</v>
      </c>
      <c r="Q16" s="556" t="s">
        <v>3762</v>
      </c>
      <c r="R16" s="556" t="s">
        <v>3760</v>
      </c>
      <c r="S16" s="556" t="s">
        <v>3763</v>
      </c>
      <c r="T16" s="567">
        <v>46283</v>
      </c>
      <c r="U16" s="568">
        <v>46288</v>
      </c>
      <c r="V16" s="571"/>
      <c r="W16" s="568"/>
      <c r="X16" s="572">
        <v>1575283</v>
      </c>
      <c r="Y16" s="521" t="s">
        <v>3756</v>
      </c>
    </row>
    <row r="17" s="521" customFormat="1" ht="36" customHeight="1" spans="1:25">
      <c r="A17" s="555">
        <f t="shared" si="0"/>
        <v>13</v>
      </c>
      <c r="B17" s="556" t="s">
        <v>3757</v>
      </c>
      <c r="C17" s="183" t="s">
        <v>101</v>
      </c>
      <c r="D17" s="293" t="s">
        <v>3784</v>
      </c>
      <c r="E17" s="561" t="s">
        <v>3785</v>
      </c>
      <c r="F17" s="217">
        <v>46169</v>
      </c>
      <c r="G17" s="82">
        <v>46283</v>
      </c>
      <c r="H17" s="82">
        <v>46283</v>
      </c>
      <c r="I17" s="562">
        <v>46237</v>
      </c>
      <c r="J17" s="563">
        <f t="shared" si="1"/>
        <v>216</v>
      </c>
      <c r="K17" s="564">
        <v>8</v>
      </c>
      <c r="L17" s="570">
        <v>108</v>
      </c>
      <c r="M17" s="570">
        <v>108</v>
      </c>
      <c r="N17" s="558" t="s">
        <v>3760</v>
      </c>
      <c r="O17" s="566" t="s">
        <v>3761</v>
      </c>
      <c r="P17" s="566" t="s">
        <v>3761</v>
      </c>
      <c r="Q17" s="556" t="s">
        <v>3762</v>
      </c>
      <c r="R17" s="556" t="s">
        <v>3760</v>
      </c>
      <c r="S17" s="556" t="s">
        <v>3763</v>
      </c>
      <c r="T17" s="567">
        <v>46283</v>
      </c>
      <c r="U17" s="568">
        <v>46288</v>
      </c>
      <c r="V17" s="571"/>
      <c r="W17" s="568"/>
      <c r="X17" s="1293" t="s">
        <v>3786</v>
      </c>
      <c r="Y17" s="521" t="s">
        <v>3756</v>
      </c>
    </row>
    <row r="18" s="521" customFormat="1" ht="36" customHeight="1" spans="1:25">
      <c r="A18" s="555">
        <f t="shared" si="0"/>
        <v>14</v>
      </c>
      <c r="B18" s="556" t="s">
        <v>3757</v>
      </c>
      <c r="C18" s="183" t="s">
        <v>101</v>
      </c>
      <c r="D18" s="573" t="s">
        <v>3787</v>
      </c>
      <c r="E18" s="561" t="s">
        <v>3788</v>
      </c>
      <c r="F18" s="217">
        <v>46169</v>
      </c>
      <c r="G18" s="82">
        <v>46283</v>
      </c>
      <c r="H18" s="82">
        <v>46283</v>
      </c>
      <c r="I18" s="562">
        <v>46237</v>
      </c>
      <c r="J18" s="563">
        <f t="shared" si="1"/>
        <v>1848</v>
      </c>
      <c r="K18" s="564">
        <v>8</v>
      </c>
      <c r="L18" s="570">
        <v>924</v>
      </c>
      <c r="M18" s="570">
        <v>924</v>
      </c>
      <c r="N18" s="558" t="s">
        <v>3760</v>
      </c>
      <c r="O18" s="566" t="s">
        <v>3761</v>
      </c>
      <c r="P18" s="566" t="s">
        <v>3761</v>
      </c>
      <c r="Q18" s="556" t="s">
        <v>3762</v>
      </c>
      <c r="R18" s="556" t="s">
        <v>3760</v>
      </c>
      <c r="S18" s="556" t="s">
        <v>3763</v>
      </c>
      <c r="T18" s="567">
        <v>46283</v>
      </c>
      <c r="U18" s="568">
        <v>46288</v>
      </c>
      <c r="V18" s="574" t="s">
        <v>3789</v>
      </c>
      <c r="W18" s="568"/>
      <c r="X18" s="1294" t="s">
        <v>3790</v>
      </c>
      <c r="Y18" s="521" t="s">
        <v>3756</v>
      </c>
    </row>
    <row r="19" s="521" customFormat="1" ht="36" customHeight="1" spans="1:25">
      <c r="A19" s="555">
        <f t="shared" si="0"/>
        <v>15</v>
      </c>
      <c r="B19" s="556" t="s">
        <v>3757</v>
      </c>
      <c r="C19" s="183" t="s">
        <v>101</v>
      </c>
      <c r="D19" s="293" t="s">
        <v>3791</v>
      </c>
      <c r="E19" s="561" t="s">
        <v>3792</v>
      </c>
      <c r="F19" s="217">
        <v>46169</v>
      </c>
      <c r="G19" s="82">
        <v>46283</v>
      </c>
      <c r="H19" s="82">
        <v>46283</v>
      </c>
      <c r="I19" s="562">
        <v>46237</v>
      </c>
      <c r="J19" s="563">
        <f t="shared" si="1"/>
        <v>3696</v>
      </c>
      <c r="K19" s="564">
        <v>8</v>
      </c>
      <c r="L19" s="570">
        <v>1848</v>
      </c>
      <c r="M19" s="570">
        <v>1848</v>
      </c>
      <c r="N19" s="558" t="s">
        <v>3760</v>
      </c>
      <c r="O19" s="566" t="s">
        <v>3761</v>
      </c>
      <c r="P19" s="566" t="s">
        <v>3761</v>
      </c>
      <c r="Q19" s="556" t="s">
        <v>3762</v>
      </c>
      <c r="R19" s="556" t="s">
        <v>3760</v>
      </c>
      <c r="S19" s="556" t="s">
        <v>3763</v>
      </c>
      <c r="T19" s="567">
        <v>46283</v>
      </c>
      <c r="U19" s="568">
        <v>46288</v>
      </c>
      <c r="V19" s="571"/>
      <c r="W19" s="568"/>
      <c r="X19" s="569">
        <v>1261521</v>
      </c>
      <c r="Y19" s="521" t="s">
        <v>3756</v>
      </c>
    </row>
    <row r="20" s="521" customFormat="1" ht="36" customHeight="1" spans="1:25">
      <c r="A20" s="555">
        <f t="shared" si="0"/>
        <v>16</v>
      </c>
      <c r="B20" s="556" t="s">
        <v>3757</v>
      </c>
      <c r="C20" s="183" t="s">
        <v>101</v>
      </c>
      <c r="D20" s="293" t="s">
        <v>3793</v>
      </c>
      <c r="E20" s="561" t="s">
        <v>3794</v>
      </c>
      <c r="F20" s="217">
        <v>46169</v>
      </c>
      <c r="G20" s="82">
        <v>46283</v>
      </c>
      <c r="H20" s="82">
        <v>46283</v>
      </c>
      <c r="I20" s="562">
        <v>46237</v>
      </c>
      <c r="J20" s="563">
        <f t="shared" si="1"/>
        <v>3720</v>
      </c>
      <c r="K20" s="564">
        <v>8</v>
      </c>
      <c r="L20" s="570">
        <v>1860</v>
      </c>
      <c r="M20" s="570">
        <v>1860</v>
      </c>
      <c r="N20" s="558" t="s">
        <v>3760</v>
      </c>
      <c r="O20" s="566" t="s">
        <v>3761</v>
      </c>
      <c r="P20" s="566" t="s">
        <v>3761</v>
      </c>
      <c r="Q20" s="556" t="s">
        <v>3762</v>
      </c>
      <c r="R20" s="556" t="s">
        <v>3760</v>
      </c>
      <c r="S20" s="556" t="s">
        <v>3763</v>
      </c>
      <c r="T20" s="567">
        <v>46283</v>
      </c>
      <c r="U20" s="568">
        <v>46288</v>
      </c>
      <c r="V20" s="571"/>
      <c r="W20" s="568"/>
      <c r="X20" s="569">
        <v>1816807</v>
      </c>
      <c r="Y20" s="521" t="s">
        <v>3756</v>
      </c>
    </row>
    <row r="21" s="521" customFormat="1" ht="36" customHeight="1" spans="1:25">
      <c r="A21" s="555">
        <f t="shared" si="0"/>
        <v>17</v>
      </c>
      <c r="B21" s="556" t="s">
        <v>3757</v>
      </c>
      <c r="C21" s="183" t="s">
        <v>101</v>
      </c>
      <c r="D21" s="293" t="s">
        <v>3795</v>
      </c>
      <c r="E21" s="561" t="s">
        <v>3796</v>
      </c>
      <c r="F21" s="217">
        <v>46169</v>
      </c>
      <c r="G21" s="82">
        <v>46283</v>
      </c>
      <c r="H21" s="82">
        <v>46283</v>
      </c>
      <c r="I21" s="562">
        <v>46237</v>
      </c>
      <c r="J21" s="563">
        <f t="shared" si="1"/>
        <v>2016</v>
      </c>
      <c r="K21" s="564">
        <v>8</v>
      </c>
      <c r="L21" s="570">
        <v>1008</v>
      </c>
      <c r="M21" s="570">
        <v>1008</v>
      </c>
      <c r="N21" s="558" t="s">
        <v>3760</v>
      </c>
      <c r="O21" s="566" t="s">
        <v>3761</v>
      </c>
      <c r="P21" s="566" t="s">
        <v>3761</v>
      </c>
      <c r="Q21" s="556" t="s">
        <v>3762</v>
      </c>
      <c r="R21" s="556" t="s">
        <v>3760</v>
      </c>
      <c r="S21" s="556" t="s">
        <v>3763</v>
      </c>
      <c r="T21" s="567">
        <v>46283</v>
      </c>
      <c r="U21" s="568">
        <v>46288</v>
      </c>
      <c r="V21" s="571"/>
      <c r="W21" s="568"/>
      <c r="X21" s="569">
        <v>3779687</v>
      </c>
      <c r="Y21" s="521" t="s">
        <v>3756</v>
      </c>
    </row>
    <row r="22" s="521" customFormat="1" ht="36" customHeight="1" spans="1:25">
      <c r="A22" s="555">
        <f t="shared" si="0"/>
        <v>18</v>
      </c>
      <c r="B22" s="556" t="s">
        <v>3757</v>
      </c>
      <c r="C22" s="183" t="s">
        <v>101</v>
      </c>
      <c r="D22" s="293" t="s">
        <v>3797</v>
      </c>
      <c r="E22" s="561" t="s">
        <v>3798</v>
      </c>
      <c r="F22" s="217">
        <v>46169</v>
      </c>
      <c r="G22" s="82">
        <v>46283</v>
      </c>
      <c r="H22" s="82">
        <v>46283</v>
      </c>
      <c r="I22" s="562">
        <v>46237</v>
      </c>
      <c r="J22" s="563">
        <f t="shared" si="1"/>
        <v>3608</v>
      </c>
      <c r="K22" s="564">
        <v>8</v>
      </c>
      <c r="L22" s="570">
        <v>1804</v>
      </c>
      <c r="M22" s="570">
        <v>1804</v>
      </c>
      <c r="N22" s="558" t="s">
        <v>3760</v>
      </c>
      <c r="O22" s="566" t="s">
        <v>3761</v>
      </c>
      <c r="P22" s="566" t="s">
        <v>3761</v>
      </c>
      <c r="Q22" s="556" t="s">
        <v>3762</v>
      </c>
      <c r="R22" s="556" t="s">
        <v>3760</v>
      </c>
      <c r="S22" s="556" t="s">
        <v>3763</v>
      </c>
      <c r="T22" s="567">
        <v>46283</v>
      </c>
      <c r="U22" s="568">
        <v>46288</v>
      </c>
      <c r="V22" s="571"/>
      <c r="W22" s="568"/>
      <c r="X22" s="569">
        <v>8290738</v>
      </c>
      <c r="Y22" s="521" t="s">
        <v>3756</v>
      </c>
    </row>
    <row r="23" s="521" customFormat="1" ht="36" customHeight="1" spans="1:25">
      <c r="A23" s="555">
        <f t="shared" si="0"/>
        <v>19</v>
      </c>
      <c r="B23" s="556" t="s">
        <v>3757</v>
      </c>
      <c r="C23" s="183" t="s">
        <v>101</v>
      </c>
      <c r="D23" s="293" t="s">
        <v>3799</v>
      </c>
      <c r="E23" s="561" t="s">
        <v>3800</v>
      </c>
      <c r="F23" s="217">
        <v>46169</v>
      </c>
      <c r="G23" s="82">
        <v>46283</v>
      </c>
      <c r="H23" s="82">
        <v>46283</v>
      </c>
      <c r="I23" s="562">
        <v>46237</v>
      </c>
      <c r="J23" s="563">
        <f t="shared" si="1"/>
        <v>720</v>
      </c>
      <c r="K23" s="564">
        <v>8</v>
      </c>
      <c r="L23" s="570">
        <v>360</v>
      </c>
      <c r="M23" s="570">
        <v>360</v>
      </c>
      <c r="N23" s="558" t="s">
        <v>3760</v>
      </c>
      <c r="O23" s="566" t="s">
        <v>3761</v>
      </c>
      <c r="P23" s="566" t="s">
        <v>3761</v>
      </c>
      <c r="Q23" s="556" t="s">
        <v>3762</v>
      </c>
      <c r="R23" s="556" t="s">
        <v>3760</v>
      </c>
      <c r="S23" s="556" t="s">
        <v>3763</v>
      </c>
      <c r="T23" s="567">
        <v>46283</v>
      </c>
      <c r="U23" s="568">
        <v>46288</v>
      </c>
      <c r="V23" s="571"/>
      <c r="W23" s="568"/>
      <c r="X23" s="569">
        <v>3779141</v>
      </c>
      <c r="Y23" s="521" t="s">
        <v>3756</v>
      </c>
    </row>
    <row r="24" s="521" customFormat="1" ht="36" customHeight="1" spans="1:25">
      <c r="A24" s="555">
        <f t="shared" si="0"/>
        <v>20</v>
      </c>
      <c r="B24" s="183"/>
      <c r="C24" s="96"/>
      <c r="D24" s="293"/>
      <c r="E24" s="293"/>
      <c r="F24" s="217"/>
      <c r="G24" s="82"/>
      <c r="H24" s="82"/>
      <c r="I24" s="562"/>
      <c r="J24" s="563"/>
      <c r="K24" s="564"/>
      <c r="L24" s="570"/>
      <c r="M24" s="570"/>
      <c r="N24" s="576"/>
      <c r="O24" s="556"/>
      <c r="P24" s="556"/>
      <c r="Q24" s="556"/>
      <c r="R24" s="556"/>
      <c r="S24" s="556"/>
      <c r="T24" s="577"/>
      <c r="U24" s="578"/>
      <c r="V24" s="571"/>
      <c r="W24" s="568"/>
      <c r="X24" s="579"/>
    </row>
    <row r="25" s="521" customFormat="1" ht="35.25" customHeight="1" spans="1:25">
      <c r="A25" s="555"/>
      <c r="B25" s="183"/>
      <c r="C25" s="183"/>
      <c r="D25" s="293"/>
      <c r="E25" s="293"/>
      <c r="F25" s="82"/>
      <c r="G25" s="82"/>
      <c r="H25" s="82"/>
      <c r="I25" s="562"/>
      <c r="J25" s="563"/>
      <c r="K25" s="580"/>
      <c r="L25" s="580"/>
      <c r="M25" s="580"/>
      <c r="N25" s="556"/>
      <c r="O25" s="556"/>
      <c r="P25" s="556"/>
      <c r="Q25" s="556"/>
      <c r="R25" s="556"/>
      <c r="S25" s="556"/>
      <c r="T25" s="581"/>
      <c r="U25" s="578"/>
      <c r="V25" s="568"/>
      <c r="W25" s="568"/>
      <c r="X25" s="579"/>
    </row>
    <row r="26" s="521" customFormat="1" ht="24.75" customHeight="1" spans="1:25">
      <c r="A26" s="582" t="s">
        <v>66</v>
      </c>
      <c r="B26" s="583"/>
      <c r="C26" s="583"/>
      <c r="D26" s="583"/>
      <c r="E26" s="583"/>
      <c r="F26" s="583"/>
      <c r="G26" s="583"/>
      <c r="H26" s="583"/>
      <c r="I26" s="583"/>
      <c r="J26" s="584">
        <f>SUM(J5:J25)</f>
        <v>25988</v>
      </c>
      <c r="K26" s="556"/>
      <c r="L26" s="580">
        <f>SUM(L5:L25)</f>
        <v>12994</v>
      </c>
      <c r="M26" s="580">
        <f>SUM(M5:M25)</f>
        <v>12994</v>
      </c>
      <c r="N26" s="556"/>
      <c r="O26" s="556"/>
      <c r="P26" s="556"/>
      <c r="Q26" s="556"/>
      <c r="R26" s="556"/>
      <c r="S26" s="556"/>
      <c r="T26" s="581"/>
      <c r="U26" s="568"/>
      <c r="V26" s="568"/>
      <c r="W26" s="568"/>
      <c r="X26" s="560"/>
    </row>
    <row r="27" s="523" customFormat="1" ht="17.1" customHeight="1" spans="1:25">
      <c r="A27" s="585" t="s">
        <v>3711</v>
      </c>
      <c r="B27" s="586"/>
      <c r="C27" s="586"/>
      <c r="D27" s="586"/>
      <c r="E27" s="586"/>
      <c r="F27" s="586"/>
      <c r="G27" s="586"/>
      <c r="H27" s="586"/>
      <c r="I27" s="586"/>
      <c r="J27" s="586">
        <f>SUM(L27:M27)</f>
        <v>25988</v>
      </c>
      <c r="K27" s="586"/>
      <c r="L27" s="586">
        <f>12994</f>
        <v>12994</v>
      </c>
      <c r="M27" s="586">
        <f>12994</f>
        <v>12994</v>
      </c>
      <c r="N27" s="586"/>
      <c r="O27" s="556"/>
      <c r="P27" s="556"/>
      <c r="Q27" s="556"/>
      <c r="R27" s="556"/>
      <c r="S27" s="587"/>
      <c r="T27" s="587"/>
      <c r="U27" s="587"/>
      <c r="V27" s="587"/>
      <c r="W27" s="587"/>
      <c r="X27" s="588"/>
    </row>
    <row r="28" s="523" customFormat="1" ht="25.5" customHeight="1" spans="1:25">
      <c r="A28" s="589" t="s">
        <v>67</v>
      </c>
      <c r="B28" s="590"/>
      <c r="C28" s="590"/>
      <c r="D28" s="590"/>
      <c r="E28" s="590"/>
      <c r="F28" s="590"/>
      <c r="G28" s="590"/>
      <c r="H28" s="590"/>
      <c r="I28" s="590"/>
      <c r="J28" s="591">
        <f>J27-J26</f>
        <v>0</v>
      </c>
      <c r="K28" s="592"/>
      <c r="L28" s="593">
        <f>L27-L26</f>
        <v>0</v>
      </c>
      <c r="M28" s="593">
        <f>M27-M26</f>
        <v>0</v>
      </c>
      <c r="N28" s="594"/>
      <c r="O28" s="594"/>
      <c r="P28" s="594"/>
      <c r="Q28" s="594"/>
      <c r="R28" s="594"/>
      <c r="S28" s="594"/>
      <c r="T28" s="594"/>
      <c r="U28" s="594"/>
      <c r="V28" s="594"/>
      <c r="W28" s="594"/>
      <c r="X28" s="595"/>
    </row>
    <row r="29" s="519" customFormat="1" spans="1:25">
      <c r="B29" s="596" t="s">
        <v>68</v>
      </c>
      <c r="C29" s="597"/>
      <c r="D29" s="598"/>
      <c r="E29" s="598"/>
      <c r="F29" s="598"/>
      <c r="G29" s="598"/>
      <c r="H29" s="598"/>
      <c r="I29" s="598"/>
      <c r="U29" s="599"/>
      <c r="V29" s="599"/>
      <c r="W29" s="599"/>
      <c r="X29" s="600"/>
    </row>
    <row r="30" s="519" customFormat="1" spans="1:25">
      <c r="U30" s="599"/>
      <c r="V30" s="599"/>
      <c r="W30" s="599"/>
      <c r="X30" s="600"/>
    </row>
    <row r="31" s="519" customFormat="1" spans="1:25">
      <c r="U31" s="599"/>
      <c r="V31" s="599"/>
      <c r="W31" s="599"/>
      <c r="X31" s="600"/>
    </row>
    <row r="32" s="519" customFormat="1" spans="1:25">
      <c r="U32" s="599"/>
      <c r="V32" s="599"/>
      <c r="W32" s="599"/>
      <c r="X32" s="600"/>
    </row>
    <row r="33" s="519" customFormat="1" spans="21:24">
      <c r="U33" s="599"/>
      <c r="V33" s="599"/>
      <c r="W33" s="599"/>
      <c r="X33" s="600"/>
    </row>
  </sheetData>
  <autoFilter xmlns:etc="http://www.wps.cn/officeDocument/2017/etCustomData" ref="A4:X24" etc:filterBottomFollowUsedRange="0">
    <sortState ref="A4:X24">
      <sortCondition ref="D4"/>
    </sortState>
    <extLst/>
  </autoFilter>
  <mergeCells count="29">
    <mergeCell ref="A1:S1"/>
    <mergeCell ref="T1:U1"/>
    <mergeCell ref="V1:X1"/>
    <mergeCell ref="A26:I26"/>
    <mergeCell ref="A27:I27"/>
    <mergeCell ref="A28:I28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L2:M3"/>
  </mergeCells>
  <conditionalFormatting sqref="J28:M28">
    <cfRule type="cellIs" dxfId="3" priority="2" operator="lessThan">
      <formula>1</formula>
    </cfRule>
    <cfRule type="cellIs" dxfId="5" priority="4" operator="lessThan">
      <formula>0</formula>
    </cfRule>
    <cfRule type="cellIs" dxfId="6" priority="5" operator="lessThan">
      <formula>0</formula>
    </cfRule>
  </conditionalFormatting>
  <conditionalFormatting sqref="J28 L28:M28">
    <cfRule type="cellIs" dxfId="0" priority="1" operator="lessThan">
      <formula>0</formula>
    </cfRule>
    <cfRule type="cellIs" dxfId="3" priority="3" operator="lessThan">
      <formula>0</formula>
    </cfRule>
  </conditionalFormatting>
  <printOptions horizontalCentered="1"/>
  <pageMargins left="0.313888888888889" right="0.313888888888889" top="0.354166666666667" bottom="0" header="0.313888888888889" footer="0.313888888888889"/>
  <pageSetup paperSize="9" scale="58" orientation="landscape" horizontalDpi="1200" verticalDpi="1200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3A7DF"/>
    <pageSetUpPr fitToPage="1"/>
  </sheetPr>
  <dimension ref="A1:AM24"/>
  <sheetViews>
    <sheetView workbookViewId="0">
      <pane xSplit="11" ySplit="3" topLeftCell="R4" activePane="bottomRight" state="frozen"/>
      <selection/>
      <selection pane="topRight"/>
      <selection pane="bottomLeft"/>
      <selection pane="bottomRight" activeCell="AE30" sqref="AE30"/>
    </sheetView>
  </sheetViews>
  <sheetFormatPr defaultColWidth="9" defaultRowHeight="14.25"/>
  <cols>
    <col min="1" max="1" width="3.125" customWidth="1"/>
    <col min="2" max="2" width="9.875" customWidth="1"/>
    <col min="3" max="3" width="7.875" customWidth="1"/>
    <col min="4" max="5" width="11.5" customWidth="1"/>
    <col min="6" max="9" width="5.625" customWidth="1"/>
    <col min="10" max="10" width="9.875" style="447" customWidth="1"/>
    <col min="11" max="11" width="5.125" customWidth="1"/>
    <col min="12" max="24" width="6.375" customWidth="1"/>
    <col min="25" max="25" width="9.375" customWidth="1"/>
    <col min="26" max="26" width="4.5" customWidth="1"/>
    <col min="27" max="27" width="5.875" customWidth="1"/>
    <col min="28" max="28" width="7.25" customWidth="1"/>
    <col min="29" max="29" width="6.375" customWidth="1"/>
    <col min="30" max="30" width="8.5" customWidth="1"/>
    <col min="31" max="31" width="22" customWidth="1"/>
    <col min="32" max="32" width="8.125" customWidth="1"/>
    <col min="33" max="33" width="8.625" style="193" customWidth="1"/>
    <col min="34" max="34" width="8.125" style="193" customWidth="1"/>
    <col min="35" max="35" width="7.375" style="193" customWidth="1"/>
    <col min="36" max="36" width="14.125" style="194" customWidth="1"/>
    <col min="37" max="37" width="16.875" style="171" customWidth="1"/>
    <col min="38" max="38" width="4.875" customWidth="1"/>
    <col min="39" max="39" width="7.125" style="448" customWidth="1"/>
    <col min="40" max="261" width="9" customWidth="1"/>
  </cols>
  <sheetData>
    <row r="1" ht="39.95" customHeight="1" spans="1:39">
      <c r="A1" s="449" t="s">
        <v>3801</v>
      </c>
      <c r="B1" s="450"/>
      <c r="C1" s="450"/>
      <c r="D1" s="450"/>
      <c r="E1" s="450"/>
      <c r="F1" s="450"/>
      <c r="G1" s="450"/>
      <c r="H1" s="450"/>
      <c r="I1" s="450"/>
      <c r="J1" s="451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2" t="s">
        <v>1</v>
      </c>
      <c r="AG1" s="453"/>
      <c r="AH1" s="454">
        <f ca="1">TODAY()</f>
        <v>46277</v>
      </c>
      <c r="AI1" s="454"/>
      <c r="AJ1" s="455"/>
    </row>
    <row r="2" s="446" customFormat="1" ht="21.95" customHeight="1" spans="1:39">
      <c r="A2" s="456" t="s">
        <v>2</v>
      </c>
      <c r="B2" s="457" t="s">
        <v>3</v>
      </c>
      <c r="C2" s="457" t="s">
        <v>4</v>
      </c>
      <c r="D2" s="457" t="s">
        <v>5</v>
      </c>
      <c r="E2" s="457" t="s">
        <v>6</v>
      </c>
      <c r="F2" s="458" t="s">
        <v>7</v>
      </c>
      <c r="G2" s="458" t="s">
        <v>8</v>
      </c>
      <c r="H2" s="458" t="s">
        <v>9</v>
      </c>
      <c r="I2" s="458" t="s">
        <v>10</v>
      </c>
      <c r="J2" s="459" t="s">
        <v>11</v>
      </c>
      <c r="K2" s="458" t="s">
        <v>12</v>
      </c>
      <c r="L2" s="460" t="s">
        <v>3802</v>
      </c>
      <c r="M2" s="460"/>
      <c r="N2" s="460"/>
      <c r="O2" s="460"/>
      <c r="P2" s="460"/>
      <c r="Q2" s="460"/>
      <c r="R2" s="460"/>
      <c r="S2" s="460" t="s">
        <v>3803</v>
      </c>
      <c r="T2" s="460"/>
      <c r="U2" s="460"/>
      <c r="V2" s="460"/>
      <c r="W2" s="460"/>
      <c r="X2" s="460"/>
      <c r="Y2" s="461" t="s">
        <v>3242</v>
      </c>
      <c r="Z2" s="462" t="s">
        <v>15</v>
      </c>
      <c r="AA2" s="463" t="s">
        <v>3804</v>
      </c>
      <c r="AB2" s="463" t="s">
        <v>3805</v>
      </c>
      <c r="AC2" s="464" t="s">
        <v>19</v>
      </c>
      <c r="AD2" s="462" t="s">
        <v>3244</v>
      </c>
      <c r="AE2" s="465" t="s">
        <v>21</v>
      </c>
      <c r="AF2" s="461" t="s">
        <v>22</v>
      </c>
      <c r="AG2" s="466" t="s">
        <v>23</v>
      </c>
      <c r="AH2" s="466" t="s">
        <v>24</v>
      </c>
      <c r="AI2" s="466" t="s">
        <v>25</v>
      </c>
      <c r="AJ2" s="467" t="s">
        <v>26</v>
      </c>
      <c r="AK2" s="3" t="s">
        <v>65</v>
      </c>
      <c r="AM2" s="468" t="s">
        <v>2002</v>
      </c>
    </row>
    <row r="3" s="446" customFormat="1" ht="24" customHeight="1" spans="1:39">
      <c r="A3" s="469"/>
      <c r="B3" s="470"/>
      <c r="C3" s="470"/>
      <c r="D3" s="470"/>
      <c r="E3" s="470"/>
      <c r="F3" s="15"/>
      <c r="G3" s="15"/>
      <c r="H3" s="15"/>
      <c r="I3" s="15"/>
      <c r="J3" s="334"/>
      <c r="K3" s="15"/>
      <c r="L3" s="266" t="s">
        <v>1561</v>
      </c>
      <c r="M3" s="266" t="s">
        <v>1562</v>
      </c>
      <c r="N3" s="266" t="s">
        <v>1563</v>
      </c>
      <c r="O3" s="266" t="s">
        <v>1564</v>
      </c>
      <c r="P3" s="266" t="s">
        <v>1565</v>
      </c>
      <c r="Q3" s="266" t="s">
        <v>1566</v>
      </c>
      <c r="R3" s="266" t="s">
        <v>1567</v>
      </c>
      <c r="S3" s="266" t="s">
        <v>1568</v>
      </c>
      <c r="T3" s="266" t="s">
        <v>1569</v>
      </c>
      <c r="U3" s="266" t="s">
        <v>1570</v>
      </c>
      <c r="V3" s="266" t="s">
        <v>1571</v>
      </c>
      <c r="W3" s="266" t="s">
        <v>1572</v>
      </c>
      <c r="X3" s="471" t="s">
        <v>1573</v>
      </c>
      <c r="Y3" s="472"/>
      <c r="Z3" s="21"/>
      <c r="AA3" s="473"/>
      <c r="AB3" s="473"/>
      <c r="AC3" s="474"/>
      <c r="AD3" s="474"/>
      <c r="AE3" s="475"/>
      <c r="AF3" s="19"/>
      <c r="AG3" s="204"/>
      <c r="AH3" s="204"/>
      <c r="AI3" s="204"/>
      <c r="AJ3" s="476"/>
      <c r="AK3" s="3"/>
      <c r="AM3" s="468"/>
    </row>
    <row r="4" s="3" customFormat="1" ht="43.5" hidden="1" customHeight="1" spans="1:39">
      <c r="A4" s="208">
        <f t="shared" ref="A4:A19" si="0">ROW()-3</f>
        <v>1</v>
      </c>
      <c r="B4" s="48" t="s">
        <v>3806</v>
      </c>
      <c r="C4" s="49" t="s">
        <v>325</v>
      </c>
      <c r="D4" s="48" t="s">
        <v>3807</v>
      </c>
      <c r="E4" s="48"/>
      <c r="F4" s="53">
        <v>45883</v>
      </c>
      <c r="G4" s="53">
        <v>45979</v>
      </c>
      <c r="H4" s="53">
        <v>45979</v>
      </c>
      <c r="I4" s="53">
        <v>45926</v>
      </c>
      <c r="J4" s="477">
        <v>30006</v>
      </c>
      <c r="K4" s="49">
        <v>18</v>
      </c>
      <c r="L4" s="49">
        <f>J4/K4*3</f>
        <v>5001</v>
      </c>
      <c r="M4" s="49">
        <f>J4/K4*3</f>
        <v>5001</v>
      </c>
      <c r="N4" s="49">
        <f>J4/K4*3</f>
        <v>5001</v>
      </c>
      <c r="O4" s="49">
        <f>J4/K4*3</f>
        <v>5001</v>
      </c>
      <c r="P4" s="49">
        <f>J4/K4*2</f>
        <v>3334</v>
      </c>
      <c r="Q4" s="478">
        <f>J4/K4*2</f>
        <v>3334</v>
      </c>
      <c r="R4" s="478">
        <f>J4/K4*2</f>
        <v>3334</v>
      </c>
      <c r="S4" s="478"/>
      <c r="T4" s="478"/>
      <c r="U4" s="478"/>
      <c r="V4" s="478"/>
      <c r="W4" s="478"/>
      <c r="X4" s="478"/>
      <c r="Y4" s="48" t="s">
        <v>3808</v>
      </c>
      <c r="Z4" s="48" t="s">
        <v>81</v>
      </c>
      <c r="AA4" s="48" t="s">
        <v>3809</v>
      </c>
      <c r="AB4" s="48" t="s">
        <v>82</v>
      </c>
      <c r="AC4" s="48" t="s">
        <v>1097</v>
      </c>
      <c r="AD4" s="48" t="s">
        <v>3808</v>
      </c>
      <c r="AE4" s="48" t="s">
        <v>3810</v>
      </c>
      <c r="AF4" s="212">
        <v>45979</v>
      </c>
      <c r="AG4" s="211">
        <v>46017</v>
      </c>
      <c r="AH4" s="211"/>
      <c r="AI4" s="176">
        <v>46056</v>
      </c>
      <c r="AJ4" s="213" t="s">
        <v>3811</v>
      </c>
      <c r="AK4" s="479" t="s">
        <v>3812</v>
      </c>
      <c r="AM4" s="480">
        <v>25019</v>
      </c>
    </row>
    <row r="5" s="3" customFormat="1" ht="32.1" hidden="1" customHeight="1" spans="1:39">
      <c r="A5" s="208">
        <f t="shared" si="0"/>
        <v>2</v>
      </c>
      <c r="B5" s="48" t="s">
        <v>3813</v>
      </c>
      <c r="C5" s="49" t="s">
        <v>360</v>
      </c>
      <c r="D5" s="49" t="s">
        <v>3814</v>
      </c>
      <c r="E5" s="49"/>
      <c r="F5" s="53">
        <v>45922</v>
      </c>
      <c r="G5" s="53">
        <v>46011</v>
      </c>
      <c r="H5" s="53">
        <v>46011</v>
      </c>
      <c r="I5" s="53">
        <v>45964</v>
      </c>
      <c r="J5" s="481">
        <v>2700</v>
      </c>
      <c r="K5" s="49">
        <v>18</v>
      </c>
      <c r="L5" s="49"/>
      <c r="M5" s="49"/>
      <c r="N5" s="49"/>
      <c r="O5" s="49"/>
      <c r="P5" s="49"/>
      <c r="Q5" s="478"/>
      <c r="R5" s="478"/>
      <c r="S5" s="49">
        <f>J5/K5*3</f>
        <v>450</v>
      </c>
      <c r="T5" s="49">
        <f>J5/K5*3</f>
        <v>450</v>
      </c>
      <c r="U5" s="49">
        <f>J5/K5*3</f>
        <v>450</v>
      </c>
      <c r="V5" s="49">
        <f>J5/K5*3</f>
        <v>450</v>
      </c>
      <c r="W5" s="49">
        <f>J5/K5*3</f>
        <v>450</v>
      </c>
      <c r="X5" s="49">
        <f>J5/K5*3</f>
        <v>450</v>
      </c>
      <c r="Y5" s="48" t="s">
        <v>2038</v>
      </c>
      <c r="Z5" s="482" t="s">
        <v>104</v>
      </c>
      <c r="AA5" s="48" t="s">
        <v>3815</v>
      </c>
      <c r="AB5" s="48" t="s">
        <v>2018</v>
      </c>
      <c r="AC5" s="48" t="s">
        <v>3816</v>
      </c>
      <c r="AD5" s="48" t="s">
        <v>3808</v>
      </c>
      <c r="AE5" s="48" t="s">
        <v>3817</v>
      </c>
      <c r="AF5" s="212">
        <v>46009</v>
      </c>
      <c r="AG5" s="176">
        <v>46009</v>
      </c>
      <c r="AH5" s="211"/>
      <c r="AI5" s="176">
        <v>46037</v>
      </c>
      <c r="AJ5" s="213" t="s">
        <v>3818</v>
      </c>
      <c r="AK5" s="479" t="s">
        <v>3819</v>
      </c>
      <c r="AM5" s="480"/>
    </row>
    <row r="6" s="3" customFormat="1" ht="27" hidden="1" customHeight="1" spans="1:39">
      <c r="A6" s="208">
        <f t="shared" si="0"/>
        <v>3</v>
      </c>
      <c r="B6" s="48" t="s">
        <v>3820</v>
      </c>
      <c r="C6" s="49" t="s">
        <v>466</v>
      </c>
      <c r="D6" s="50" t="s">
        <v>3821</v>
      </c>
      <c r="E6" s="50" t="s">
        <v>3822</v>
      </c>
      <c r="F6" s="52">
        <v>45960</v>
      </c>
      <c r="G6" s="52">
        <v>46034</v>
      </c>
      <c r="H6" s="52">
        <v>46034</v>
      </c>
      <c r="I6" s="53">
        <v>45966</v>
      </c>
      <c r="J6" s="481">
        <v>14004</v>
      </c>
      <c r="K6" s="49">
        <v>36</v>
      </c>
      <c r="L6" s="49"/>
      <c r="M6" s="49"/>
      <c r="N6" s="49"/>
      <c r="O6" s="49"/>
      <c r="P6" s="49"/>
      <c r="Q6" s="478"/>
      <c r="R6" s="478"/>
      <c r="S6" s="49">
        <f>J6/K6*6</f>
        <v>2334</v>
      </c>
      <c r="T6" s="49">
        <f>J6/K6*6</f>
        <v>2334</v>
      </c>
      <c r="U6" s="49">
        <f>J6/K6*6</f>
        <v>2334</v>
      </c>
      <c r="V6" s="49">
        <f>J6/K6*6</f>
        <v>2334</v>
      </c>
      <c r="W6" s="49">
        <f>J6/K6*6</f>
        <v>2334</v>
      </c>
      <c r="X6" s="49">
        <f>J6/K6*6</f>
        <v>2334</v>
      </c>
      <c r="Y6" s="48" t="s">
        <v>3823</v>
      </c>
      <c r="Z6" s="48" t="s">
        <v>81</v>
      </c>
      <c r="AA6" s="48" t="s">
        <v>2012</v>
      </c>
      <c r="AB6" s="48" t="s">
        <v>3824</v>
      </c>
      <c r="AC6" s="48" t="s">
        <v>673</v>
      </c>
      <c r="AD6" s="48" t="s">
        <v>3823</v>
      </c>
      <c r="AE6" s="48" t="s">
        <v>3825</v>
      </c>
      <c r="AF6" s="212">
        <v>46094</v>
      </c>
      <c r="AG6" s="176">
        <v>46030</v>
      </c>
      <c r="AH6" s="211"/>
      <c r="AI6" s="176">
        <v>46100</v>
      </c>
      <c r="AJ6" s="213" t="s">
        <v>3826</v>
      </c>
      <c r="AK6" s="479" t="s">
        <v>3827</v>
      </c>
      <c r="AM6" s="480"/>
    </row>
    <row r="7" s="3" customFormat="1" ht="27" hidden="1" customHeight="1" spans="1:39">
      <c r="A7" s="208">
        <f t="shared" si="0"/>
        <v>4</v>
      </c>
      <c r="B7" s="48" t="s">
        <v>152</v>
      </c>
      <c r="C7" s="49" t="s">
        <v>135</v>
      </c>
      <c r="D7" s="50" t="s">
        <v>3828</v>
      </c>
      <c r="E7" s="50" t="s">
        <v>3829</v>
      </c>
      <c r="F7" s="52">
        <v>46062</v>
      </c>
      <c r="G7" s="52">
        <v>46148</v>
      </c>
      <c r="H7" s="52">
        <v>46148</v>
      </c>
      <c r="I7" s="53">
        <v>46092</v>
      </c>
      <c r="J7" s="481">
        <f>SUBTOTAL(9,L7:X7)</f>
        <v>0</v>
      </c>
      <c r="K7" s="49">
        <v>36</v>
      </c>
      <c r="L7" s="49"/>
      <c r="M7" s="49"/>
      <c r="N7" s="49"/>
      <c r="O7" s="49"/>
      <c r="P7" s="49"/>
      <c r="Q7" s="478"/>
      <c r="R7" s="478"/>
      <c r="S7" s="49">
        <v>2400</v>
      </c>
      <c r="T7" s="49">
        <v>2400</v>
      </c>
      <c r="U7" s="49">
        <v>2400</v>
      </c>
      <c r="V7" s="49">
        <v>2400</v>
      </c>
      <c r="W7" s="49">
        <v>2400</v>
      </c>
      <c r="X7" s="49">
        <v>2400</v>
      </c>
      <c r="Y7" s="48" t="s">
        <v>1064</v>
      </c>
      <c r="Z7" s="48" t="s">
        <v>81</v>
      </c>
      <c r="AA7" s="48" t="s">
        <v>138</v>
      </c>
      <c r="AB7" s="48" t="s">
        <v>2125</v>
      </c>
      <c r="AC7" s="48" t="s">
        <v>138</v>
      </c>
      <c r="AD7" s="48" t="s">
        <v>1064</v>
      </c>
      <c r="AE7" s="48" t="s">
        <v>3830</v>
      </c>
      <c r="AF7" s="212">
        <v>46148</v>
      </c>
      <c r="AG7" s="176">
        <v>46135</v>
      </c>
      <c r="AH7" s="211"/>
      <c r="AI7" s="176">
        <v>46170</v>
      </c>
      <c r="AJ7" s="213" t="s">
        <v>3831</v>
      </c>
      <c r="AK7" s="479" t="s">
        <v>3827</v>
      </c>
      <c r="AM7" s="480"/>
    </row>
    <row r="8" s="3" customFormat="1" ht="27" hidden="1" customHeight="1" spans="1:39">
      <c r="A8" s="208">
        <f t="shared" si="0"/>
        <v>5</v>
      </c>
      <c r="B8" s="48" t="s">
        <v>152</v>
      </c>
      <c r="C8" s="49" t="s">
        <v>135</v>
      </c>
      <c r="D8" s="50" t="s">
        <v>3828</v>
      </c>
      <c r="E8" s="50" t="s">
        <v>3829</v>
      </c>
      <c r="F8" s="52">
        <v>46062</v>
      </c>
      <c r="G8" s="52">
        <v>46148</v>
      </c>
      <c r="H8" s="52">
        <v>46148</v>
      </c>
      <c r="I8" s="53">
        <v>46092</v>
      </c>
      <c r="J8" s="481">
        <f>SUBTOTAL(9,L8:X8)</f>
        <v>0</v>
      </c>
      <c r="K8" s="49">
        <v>36</v>
      </c>
      <c r="L8" s="49">
        <v>1675</v>
      </c>
      <c r="M8" s="49">
        <v>2010</v>
      </c>
      <c r="N8" s="49">
        <v>1675</v>
      </c>
      <c r="O8" s="49">
        <v>1675</v>
      </c>
      <c r="P8" s="49">
        <v>1675</v>
      </c>
      <c r="Q8" s="478">
        <v>1675</v>
      </c>
      <c r="R8" s="478">
        <v>1675</v>
      </c>
      <c r="S8" s="49"/>
      <c r="T8" s="49"/>
      <c r="U8" s="49"/>
      <c r="V8" s="49"/>
      <c r="W8" s="49"/>
      <c r="X8" s="49"/>
      <c r="Y8" s="48" t="s">
        <v>1064</v>
      </c>
      <c r="Z8" s="48" t="s">
        <v>81</v>
      </c>
      <c r="AA8" s="48" t="s">
        <v>138</v>
      </c>
      <c r="AB8" s="48" t="s">
        <v>2125</v>
      </c>
      <c r="AC8" s="48" t="s">
        <v>138</v>
      </c>
      <c r="AD8" s="48" t="s">
        <v>1064</v>
      </c>
      <c r="AE8" s="48" t="s">
        <v>3830</v>
      </c>
      <c r="AF8" s="212">
        <v>46148</v>
      </c>
      <c r="AG8" s="176">
        <v>46135</v>
      </c>
      <c r="AH8" s="211"/>
      <c r="AI8" s="176">
        <v>46170</v>
      </c>
      <c r="AJ8" s="213" t="s">
        <v>3831</v>
      </c>
      <c r="AK8" s="479" t="s">
        <v>3832</v>
      </c>
      <c r="AM8" s="480"/>
    </row>
    <row r="9" s="3" customFormat="1" ht="27" hidden="1" customHeight="1" spans="1:39">
      <c r="A9" s="208">
        <f t="shared" si="0"/>
        <v>6</v>
      </c>
      <c r="B9" s="48" t="s">
        <v>3833</v>
      </c>
      <c r="C9" s="49" t="s">
        <v>360</v>
      </c>
      <c r="D9" s="50" t="s">
        <v>3834</v>
      </c>
      <c r="E9" s="50" t="s">
        <v>3835</v>
      </c>
      <c r="F9" s="52">
        <v>46114</v>
      </c>
      <c r="G9" s="52">
        <v>46165</v>
      </c>
      <c r="H9" s="52">
        <v>46165</v>
      </c>
      <c r="I9" s="53">
        <v>46136</v>
      </c>
      <c r="J9" s="481">
        <f>SUM(L9:X9)</f>
        <v>1206</v>
      </c>
      <c r="K9" s="49">
        <v>18</v>
      </c>
      <c r="L9" s="49"/>
      <c r="M9" s="49"/>
      <c r="N9" s="49"/>
      <c r="O9" s="49"/>
      <c r="P9" s="49"/>
      <c r="Q9" s="478"/>
      <c r="R9" s="478"/>
      <c r="S9" s="49">
        <v>201</v>
      </c>
      <c r="T9" s="49">
        <v>201</v>
      </c>
      <c r="U9" s="49">
        <v>201</v>
      </c>
      <c r="V9" s="49">
        <v>201</v>
      </c>
      <c r="W9" s="49">
        <v>201</v>
      </c>
      <c r="X9" s="49">
        <v>201</v>
      </c>
      <c r="Y9" s="48" t="s">
        <v>499</v>
      </c>
      <c r="Z9" s="48" t="s">
        <v>104</v>
      </c>
      <c r="AA9" s="48" t="s">
        <v>501</v>
      </c>
      <c r="AB9" s="48" t="s">
        <v>1744</v>
      </c>
      <c r="AC9" s="48" t="s">
        <v>1072</v>
      </c>
      <c r="AD9" s="48" t="s">
        <v>499</v>
      </c>
      <c r="AE9" s="48" t="s">
        <v>3836</v>
      </c>
      <c r="AF9" s="212">
        <v>46165</v>
      </c>
      <c r="AG9" s="176">
        <v>46164</v>
      </c>
      <c r="AH9" s="211"/>
      <c r="AI9" s="176">
        <v>46171</v>
      </c>
      <c r="AJ9" s="213" t="s">
        <v>3837</v>
      </c>
      <c r="AK9" s="479" t="s">
        <v>3819</v>
      </c>
      <c r="AM9" s="480"/>
    </row>
    <row r="10" s="3" customFormat="1" ht="27" hidden="1" customHeight="1" spans="1:39">
      <c r="A10" s="208">
        <f t="shared" si="0"/>
        <v>7</v>
      </c>
      <c r="B10" s="48" t="s">
        <v>3833</v>
      </c>
      <c r="C10" s="49" t="s">
        <v>360</v>
      </c>
      <c r="D10" s="50" t="s">
        <v>3838</v>
      </c>
      <c r="E10" s="50" t="s">
        <v>3839</v>
      </c>
      <c r="F10" s="52">
        <v>46114</v>
      </c>
      <c r="G10" s="52">
        <v>46185</v>
      </c>
      <c r="H10" s="52">
        <v>46185</v>
      </c>
      <c r="I10" s="53">
        <v>46136</v>
      </c>
      <c r="J10" s="481">
        <f>SUBTOTAL(9,L10:X10)</f>
        <v>0</v>
      </c>
      <c r="K10" s="49">
        <v>18</v>
      </c>
      <c r="L10" s="49"/>
      <c r="M10" s="49"/>
      <c r="N10" s="49"/>
      <c r="O10" s="49"/>
      <c r="P10" s="49"/>
      <c r="Q10" s="478"/>
      <c r="R10" s="478"/>
      <c r="S10" s="49">
        <v>153</v>
      </c>
      <c r="T10" s="49">
        <v>153</v>
      </c>
      <c r="U10" s="49">
        <v>153</v>
      </c>
      <c r="V10" s="49">
        <v>153</v>
      </c>
      <c r="W10" s="49">
        <v>153</v>
      </c>
      <c r="X10" s="49">
        <v>153</v>
      </c>
      <c r="Y10" s="48" t="s">
        <v>499</v>
      </c>
      <c r="Z10" s="48" t="s">
        <v>104</v>
      </c>
      <c r="AA10" s="48" t="s">
        <v>501</v>
      </c>
      <c r="AB10" s="48" t="s">
        <v>1744</v>
      </c>
      <c r="AC10" s="48" t="s">
        <v>1072</v>
      </c>
      <c r="AD10" s="48" t="s">
        <v>499</v>
      </c>
      <c r="AE10" s="48" t="s">
        <v>3836</v>
      </c>
      <c r="AF10" s="212">
        <v>46185</v>
      </c>
      <c r="AG10" s="176">
        <v>46185</v>
      </c>
      <c r="AH10" s="211"/>
      <c r="AI10" s="176">
        <v>46195</v>
      </c>
      <c r="AJ10" s="213" t="s">
        <v>3840</v>
      </c>
      <c r="AK10" s="479" t="s">
        <v>3819</v>
      </c>
      <c r="AM10" s="480"/>
    </row>
    <row r="11" s="3" customFormat="1" ht="27" hidden="1" customHeight="1" spans="1:39">
      <c r="A11" s="208">
        <f t="shared" si="0"/>
        <v>8</v>
      </c>
      <c r="B11" s="48" t="s">
        <v>3813</v>
      </c>
      <c r="C11" s="49" t="s">
        <v>1945</v>
      </c>
      <c r="D11" s="50" t="s">
        <v>3841</v>
      </c>
      <c r="E11" s="50" t="s">
        <v>3842</v>
      </c>
      <c r="F11" s="52">
        <v>46120</v>
      </c>
      <c r="G11" s="52">
        <v>46197</v>
      </c>
      <c r="H11" s="52">
        <v>46197</v>
      </c>
      <c r="I11" s="53">
        <v>46162</v>
      </c>
      <c r="J11" s="481">
        <f>SUM(L11:X11)</f>
        <v>2700</v>
      </c>
      <c r="K11" s="49">
        <v>18</v>
      </c>
      <c r="L11" s="49"/>
      <c r="M11" s="49"/>
      <c r="N11" s="49"/>
      <c r="O11" s="49"/>
      <c r="P11" s="49"/>
      <c r="Q11" s="478"/>
      <c r="R11" s="478"/>
      <c r="S11" s="49">
        <v>450</v>
      </c>
      <c r="T11" s="49">
        <v>450</v>
      </c>
      <c r="U11" s="49">
        <v>450</v>
      </c>
      <c r="V11" s="49">
        <v>450</v>
      </c>
      <c r="W11" s="49">
        <v>450</v>
      </c>
      <c r="X11" s="49">
        <v>450</v>
      </c>
      <c r="Y11" s="48" t="s">
        <v>834</v>
      </c>
      <c r="Z11" s="48" t="s">
        <v>104</v>
      </c>
      <c r="AA11" s="48" t="s">
        <v>1393</v>
      </c>
      <c r="AB11" s="48" t="s">
        <v>1744</v>
      </c>
      <c r="AC11" s="48" t="s">
        <v>2170</v>
      </c>
      <c r="AD11" s="48" t="s">
        <v>834</v>
      </c>
      <c r="AE11" s="48" t="s">
        <v>3843</v>
      </c>
      <c r="AF11" s="212">
        <v>46197</v>
      </c>
      <c r="AG11" s="176">
        <v>46198</v>
      </c>
      <c r="AH11" s="317"/>
      <c r="AI11" s="176">
        <v>46214</v>
      </c>
      <c r="AJ11" s="213" t="s">
        <v>3844</v>
      </c>
      <c r="AK11" s="479" t="s">
        <v>3819</v>
      </c>
      <c r="AM11" s="480"/>
    </row>
    <row r="12" s="3" customFormat="1" ht="27" hidden="1" customHeight="1" spans="1:39">
      <c r="A12" s="208">
        <f t="shared" si="0"/>
        <v>9</v>
      </c>
      <c r="B12" s="48" t="s">
        <v>3833</v>
      </c>
      <c r="C12" s="49" t="s">
        <v>360</v>
      </c>
      <c r="D12" s="50" t="s">
        <v>3845</v>
      </c>
      <c r="E12" s="50" t="s">
        <v>3846</v>
      </c>
      <c r="F12" s="52">
        <v>46114</v>
      </c>
      <c r="G12" s="52">
        <v>46223</v>
      </c>
      <c r="H12" s="52">
        <v>46223</v>
      </c>
      <c r="I12" s="53">
        <v>46136</v>
      </c>
      <c r="J12" s="481">
        <f>SUBTOTAL(9,L12:X12)</f>
        <v>0</v>
      </c>
      <c r="K12" s="49">
        <v>18</v>
      </c>
      <c r="L12" s="49"/>
      <c r="M12" s="49"/>
      <c r="N12" s="49"/>
      <c r="O12" s="49"/>
      <c r="P12" s="49"/>
      <c r="Q12" s="478"/>
      <c r="R12" s="478"/>
      <c r="S12" s="49">
        <v>153</v>
      </c>
      <c r="T12" s="49">
        <v>153</v>
      </c>
      <c r="U12" s="49">
        <v>153</v>
      </c>
      <c r="V12" s="49">
        <v>153</v>
      </c>
      <c r="W12" s="49">
        <v>153</v>
      </c>
      <c r="X12" s="49">
        <v>153</v>
      </c>
      <c r="Y12" s="48" t="s">
        <v>3847</v>
      </c>
      <c r="Z12" s="48" t="s">
        <v>104</v>
      </c>
      <c r="AA12" s="48" t="s">
        <v>168</v>
      </c>
      <c r="AB12" s="49" t="s">
        <v>1876</v>
      </c>
      <c r="AC12" s="48" t="s">
        <v>3848</v>
      </c>
      <c r="AD12" s="48" t="s">
        <v>3847</v>
      </c>
      <c r="AE12" s="48" t="s">
        <v>3836</v>
      </c>
      <c r="AF12" s="212">
        <v>46223</v>
      </c>
      <c r="AG12" s="176">
        <v>46205</v>
      </c>
      <c r="AH12" s="211"/>
      <c r="AI12" s="176">
        <v>46231</v>
      </c>
      <c r="AJ12" s="213" t="s">
        <v>3849</v>
      </c>
      <c r="AK12" s="479" t="s">
        <v>3819</v>
      </c>
      <c r="AM12" s="480"/>
    </row>
    <row r="13" s="3" customFormat="1" ht="36" hidden="1" customHeight="1" spans="1:39">
      <c r="A13" s="225">
        <f t="shared" si="0"/>
        <v>10</v>
      </c>
      <c r="B13" s="226" t="s">
        <v>1546</v>
      </c>
      <c r="C13" s="227" t="s">
        <v>466</v>
      </c>
      <c r="D13" s="228" t="s">
        <v>3850</v>
      </c>
      <c r="E13" s="229" t="s">
        <v>1555</v>
      </c>
      <c r="F13" s="230">
        <v>46132</v>
      </c>
      <c r="G13" s="230">
        <v>46231</v>
      </c>
      <c r="H13" s="230">
        <v>46231</v>
      </c>
      <c r="I13" s="231">
        <v>46190</v>
      </c>
      <c r="J13" s="483">
        <f>SUBTOTAL(9,L13:X13)</f>
        <v>0</v>
      </c>
      <c r="K13" s="227">
        <v>36</v>
      </c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6" t="s">
        <v>3847</v>
      </c>
      <c r="Z13" s="226" t="s">
        <v>81</v>
      </c>
      <c r="AA13" s="226" t="s">
        <v>587</v>
      </c>
      <c r="AB13" s="226" t="s">
        <v>3851</v>
      </c>
      <c r="AC13" s="226"/>
      <c r="AD13" s="226" t="s">
        <v>3847</v>
      </c>
      <c r="AE13" s="226" t="s">
        <v>3830</v>
      </c>
      <c r="AF13" s="235">
        <v>46231</v>
      </c>
      <c r="AG13" s="484"/>
      <c r="AH13" s="485"/>
      <c r="AI13" s="234" t="s">
        <v>640</v>
      </c>
      <c r="AJ13" s="238" t="s">
        <v>3852</v>
      </c>
      <c r="AK13" s="479" t="s">
        <v>3832</v>
      </c>
      <c r="AM13" s="480"/>
    </row>
    <row r="14" s="3" customFormat="1" ht="36" hidden="1" customHeight="1" spans="1:39">
      <c r="A14" s="225">
        <f t="shared" si="0"/>
        <v>11</v>
      </c>
      <c r="B14" s="226" t="s">
        <v>1546</v>
      </c>
      <c r="C14" s="227" t="s">
        <v>466</v>
      </c>
      <c r="D14" s="228" t="s">
        <v>3853</v>
      </c>
      <c r="E14" s="229" t="s">
        <v>1558</v>
      </c>
      <c r="F14" s="230">
        <v>46132</v>
      </c>
      <c r="G14" s="230">
        <v>46231</v>
      </c>
      <c r="H14" s="230">
        <v>46231</v>
      </c>
      <c r="I14" s="231">
        <v>46190</v>
      </c>
      <c r="J14" s="483">
        <f>SUBTOTAL(9,L14:X14)</f>
        <v>0</v>
      </c>
      <c r="K14" s="227">
        <v>36</v>
      </c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6" t="s">
        <v>3847</v>
      </c>
      <c r="Z14" s="226" t="s">
        <v>81</v>
      </c>
      <c r="AA14" s="226" t="s">
        <v>587</v>
      </c>
      <c r="AB14" s="226" t="s">
        <v>3851</v>
      </c>
      <c r="AC14" s="226"/>
      <c r="AD14" s="226" t="s">
        <v>3847</v>
      </c>
      <c r="AE14" s="226" t="s">
        <v>3830</v>
      </c>
      <c r="AF14" s="235">
        <v>46231</v>
      </c>
      <c r="AG14" s="484"/>
      <c r="AH14" s="485"/>
      <c r="AI14" s="234" t="s">
        <v>640</v>
      </c>
      <c r="AJ14" s="238" t="s">
        <v>1784</v>
      </c>
      <c r="AK14" s="479" t="s">
        <v>3832</v>
      </c>
      <c r="AM14" s="480"/>
    </row>
    <row r="15" s="3" customFormat="1" ht="49" customHeight="1" spans="1:39">
      <c r="A15" s="486">
        <f t="shared" si="0"/>
        <v>12</v>
      </c>
      <c r="B15" s="487" t="s">
        <v>3820</v>
      </c>
      <c r="C15" s="146" t="s">
        <v>466</v>
      </c>
      <c r="D15" s="488" t="s">
        <v>3854</v>
      </c>
      <c r="E15" s="488" t="s">
        <v>3855</v>
      </c>
      <c r="F15" s="489">
        <v>46235</v>
      </c>
      <c r="G15" s="489">
        <v>46315</v>
      </c>
      <c r="H15" s="489">
        <v>46315</v>
      </c>
      <c r="I15" s="490">
        <v>46266</v>
      </c>
      <c r="J15" s="491">
        <v>8028</v>
      </c>
      <c r="K15" s="146">
        <v>36</v>
      </c>
      <c r="L15" s="96">
        <f t="shared" ref="L15:R15" si="1">$J15/$K15*5</f>
        <v>1115</v>
      </c>
      <c r="M15" s="96">
        <f>$J15/$K15*6</f>
        <v>1338</v>
      </c>
      <c r="N15" s="96">
        <f t="shared" si="1"/>
        <v>1115</v>
      </c>
      <c r="O15" s="96">
        <f t="shared" si="1"/>
        <v>1115</v>
      </c>
      <c r="P15" s="96">
        <f t="shared" si="1"/>
        <v>1115</v>
      </c>
      <c r="Q15" s="96">
        <f t="shared" si="1"/>
        <v>1115</v>
      </c>
      <c r="R15" s="96">
        <f t="shared" si="1"/>
        <v>1115</v>
      </c>
      <c r="S15" s="96"/>
      <c r="T15" s="96"/>
      <c r="U15" s="96"/>
      <c r="V15" s="96"/>
      <c r="W15" s="96"/>
      <c r="X15" s="96"/>
      <c r="Y15" s="492" t="s">
        <v>3847</v>
      </c>
      <c r="Z15" s="183" t="s">
        <v>81</v>
      </c>
      <c r="AA15" s="183" t="s">
        <v>82</v>
      </c>
      <c r="AB15" s="183" t="s">
        <v>3856</v>
      </c>
      <c r="AC15" s="183" t="s">
        <v>3857</v>
      </c>
      <c r="AD15" s="183" t="s">
        <v>3847</v>
      </c>
      <c r="AE15" s="183" t="s">
        <v>3858</v>
      </c>
      <c r="AF15" s="493">
        <v>46315</v>
      </c>
      <c r="AG15" s="223"/>
      <c r="AH15" s="279"/>
      <c r="AI15" s="97"/>
      <c r="AJ15" s="224" t="s">
        <v>3859</v>
      </c>
      <c r="AK15" s="479" t="s">
        <v>3832</v>
      </c>
      <c r="AM15" s="480" t="s">
        <v>82</v>
      </c>
    </row>
    <row r="16" s="3" customFormat="1" ht="27" customHeight="1" spans="1:39">
      <c r="A16" s="215">
        <f t="shared" si="0"/>
        <v>13</v>
      </c>
      <c r="B16" s="269" t="s">
        <v>152</v>
      </c>
      <c r="C16" s="270" t="s">
        <v>3860</v>
      </c>
      <c r="D16" s="271" t="s">
        <v>3707</v>
      </c>
      <c r="E16" s="271"/>
      <c r="F16" s="273">
        <v>46272</v>
      </c>
      <c r="G16" s="273">
        <v>46295</v>
      </c>
      <c r="H16" s="273"/>
      <c r="I16" s="274"/>
      <c r="J16" s="494">
        <v>18000</v>
      </c>
      <c r="K16" s="270">
        <v>36</v>
      </c>
      <c r="L16" s="96">
        <f t="shared" ref="L16:R16" si="2">$J16/$K16*5</f>
        <v>2500</v>
      </c>
      <c r="M16" s="96">
        <f>$J16/$K16*6</f>
        <v>3000</v>
      </c>
      <c r="N16" s="96">
        <f t="shared" si="2"/>
        <v>2500</v>
      </c>
      <c r="O16" s="96">
        <f t="shared" si="2"/>
        <v>2500</v>
      </c>
      <c r="P16" s="96">
        <f t="shared" si="2"/>
        <v>2500</v>
      </c>
      <c r="Q16" s="96">
        <f t="shared" si="2"/>
        <v>2500</v>
      </c>
      <c r="R16" s="96">
        <f t="shared" si="2"/>
        <v>2500</v>
      </c>
      <c r="S16" s="96"/>
      <c r="T16" s="96"/>
      <c r="U16" s="96"/>
      <c r="V16" s="96"/>
      <c r="W16" s="96"/>
      <c r="X16" s="96"/>
      <c r="Y16" s="492"/>
      <c r="Z16" s="183" t="s">
        <v>81</v>
      </c>
      <c r="AA16" s="183"/>
      <c r="AB16" s="183"/>
      <c r="AC16" s="183"/>
      <c r="AD16" s="183"/>
      <c r="AE16" s="183" t="s">
        <v>3830</v>
      </c>
      <c r="AF16" s="493"/>
      <c r="AG16" s="223"/>
      <c r="AH16" s="279"/>
      <c r="AI16" s="97"/>
      <c r="AJ16" s="224"/>
      <c r="AK16" s="479" t="s">
        <v>3832</v>
      </c>
      <c r="AM16" s="480"/>
    </row>
    <row r="17" s="3" customFormat="1" ht="27" customHeight="1" spans="1:39">
      <c r="A17" s="215">
        <f t="shared" si="0"/>
        <v>14</v>
      </c>
      <c r="B17" s="269" t="s">
        <v>152</v>
      </c>
      <c r="C17" s="270" t="s">
        <v>3860</v>
      </c>
      <c r="D17" s="271" t="s">
        <v>3707</v>
      </c>
      <c r="E17" s="271"/>
      <c r="F17" s="273">
        <v>46272</v>
      </c>
      <c r="G17" s="273">
        <v>46295</v>
      </c>
      <c r="H17" s="273"/>
      <c r="I17" s="274"/>
      <c r="J17" s="494">
        <v>18000</v>
      </c>
      <c r="K17" s="270">
        <v>36</v>
      </c>
      <c r="L17" s="96"/>
      <c r="M17" s="96"/>
      <c r="N17" s="96"/>
      <c r="O17" s="96"/>
      <c r="P17" s="96"/>
      <c r="Q17" s="359"/>
      <c r="R17" s="359"/>
      <c r="S17" s="96">
        <f t="shared" ref="S17:X17" si="3">$J17/$K17*6</f>
        <v>3000</v>
      </c>
      <c r="T17" s="96">
        <f t="shared" si="3"/>
        <v>3000</v>
      </c>
      <c r="U17" s="96">
        <f t="shared" si="3"/>
        <v>3000</v>
      </c>
      <c r="V17" s="96">
        <f t="shared" si="3"/>
        <v>3000</v>
      </c>
      <c r="W17" s="96">
        <f t="shared" si="3"/>
        <v>3000</v>
      </c>
      <c r="X17" s="96">
        <f t="shared" si="3"/>
        <v>3000</v>
      </c>
      <c r="Y17" s="492"/>
      <c r="Z17" s="183" t="s">
        <v>104</v>
      </c>
      <c r="AA17" s="183"/>
      <c r="AB17" s="183"/>
      <c r="AC17" s="183"/>
      <c r="AD17" s="183"/>
      <c r="AE17" s="183" t="s">
        <v>3830</v>
      </c>
      <c r="AF17" s="493"/>
      <c r="AG17" s="223"/>
      <c r="AH17" s="279"/>
      <c r="AI17" s="97"/>
      <c r="AJ17" s="224"/>
      <c r="AK17" s="479" t="s">
        <v>3827</v>
      </c>
      <c r="AM17" s="480"/>
    </row>
    <row r="18" s="3" customFormat="1" ht="27" customHeight="1" spans="1:39">
      <c r="A18" s="215">
        <f t="shared" si="0"/>
        <v>15</v>
      </c>
      <c r="B18" s="183"/>
      <c r="C18" s="96"/>
      <c r="D18" s="216"/>
      <c r="E18" s="216"/>
      <c r="F18" s="217"/>
      <c r="G18" s="217"/>
      <c r="H18" s="217"/>
      <c r="I18" s="218"/>
      <c r="J18" s="495"/>
      <c r="K18" s="96"/>
      <c r="L18" s="96"/>
      <c r="M18" s="96"/>
      <c r="N18" s="96"/>
      <c r="O18" s="96"/>
      <c r="P18" s="96"/>
      <c r="Q18" s="359"/>
      <c r="R18" s="359"/>
      <c r="S18" s="96"/>
      <c r="T18" s="96"/>
      <c r="U18" s="96"/>
      <c r="V18" s="96"/>
      <c r="W18" s="96"/>
      <c r="X18" s="96"/>
      <c r="Y18" s="492"/>
      <c r="Z18" s="183"/>
      <c r="AA18" s="183"/>
      <c r="AB18" s="183"/>
      <c r="AC18" s="183"/>
      <c r="AD18" s="183"/>
      <c r="AE18" s="183"/>
      <c r="AF18" s="493"/>
      <c r="AG18" s="223"/>
      <c r="AH18" s="279"/>
      <c r="AI18" s="97"/>
      <c r="AJ18" s="224"/>
      <c r="AK18" s="479"/>
      <c r="AM18" s="480"/>
    </row>
    <row r="19" s="3" customFormat="1" ht="27" customHeight="1" spans="1:39">
      <c r="A19" s="215">
        <f t="shared" si="0"/>
        <v>16</v>
      </c>
      <c r="D19" s="96"/>
      <c r="E19" s="96"/>
      <c r="F19" s="217"/>
      <c r="G19" s="218"/>
      <c r="H19" s="218"/>
      <c r="I19" s="218"/>
      <c r="J19" s="495"/>
      <c r="K19" s="96"/>
      <c r="L19" s="96"/>
      <c r="M19" s="96"/>
      <c r="N19" s="96"/>
      <c r="O19" s="96"/>
      <c r="P19" s="96"/>
      <c r="Q19" s="359"/>
      <c r="R19" s="359"/>
      <c r="S19" s="359"/>
      <c r="T19" s="359"/>
      <c r="U19" s="359"/>
      <c r="V19" s="359"/>
      <c r="W19" s="359"/>
      <c r="X19" s="359"/>
      <c r="Y19" s="492"/>
      <c r="Z19" s="183"/>
      <c r="AA19" s="183"/>
      <c r="AB19" s="183"/>
      <c r="AC19" s="183"/>
      <c r="AD19" s="183"/>
      <c r="AE19" s="183"/>
      <c r="AF19" s="493"/>
      <c r="AG19" s="97"/>
      <c r="AH19" s="279"/>
      <c r="AI19" s="97"/>
      <c r="AJ19" s="224"/>
      <c r="AK19" s="479"/>
      <c r="AM19" s="480"/>
    </row>
    <row r="20" s="3" customFormat="1" ht="21.75" customHeight="1" spans="1:39">
      <c r="A20" s="93" t="s">
        <v>66</v>
      </c>
      <c r="B20" s="94"/>
      <c r="C20" s="94"/>
      <c r="D20" s="94"/>
      <c r="E20" s="94"/>
      <c r="F20" s="94"/>
      <c r="G20" s="94"/>
      <c r="H20" s="94"/>
      <c r="I20" s="94"/>
      <c r="J20" s="360">
        <f>SUM(J4:J19)</f>
        <v>94644</v>
      </c>
      <c r="K20" s="96"/>
      <c r="L20" s="359">
        <f t="shared" ref="L20:X20" si="4">SUM(L4:L19)</f>
        <v>10291</v>
      </c>
      <c r="M20" s="359">
        <f t="shared" si="4"/>
        <v>11349</v>
      </c>
      <c r="N20" s="359">
        <f t="shared" si="4"/>
        <v>10291</v>
      </c>
      <c r="O20" s="359">
        <f t="shared" si="4"/>
        <v>10291</v>
      </c>
      <c r="P20" s="359">
        <f t="shared" si="4"/>
        <v>8624</v>
      </c>
      <c r="Q20" s="359">
        <f t="shared" si="4"/>
        <v>8624</v>
      </c>
      <c r="R20" s="359">
        <f t="shared" si="4"/>
        <v>8624</v>
      </c>
      <c r="S20" s="359">
        <f t="shared" si="4"/>
        <v>9141</v>
      </c>
      <c r="T20" s="359">
        <f t="shared" si="4"/>
        <v>9141</v>
      </c>
      <c r="U20" s="359">
        <f t="shared" si="4"/>
        <v>9141</v>
      </c>
      <c r="V20" s="359">
        <f t="shared" si="4"/>
        <v>9141</v>
      </c>
      <c r="W20" s="359">
        <f t="shared" si="4"/>
        <v>9141</v>
      </c>
      <c r="X20" s="359">
        <f t="shared" si="4"/>
        <v>9141</v>
      </c>
      <c r="Y20" s="96"/>
      <c r="Z20" s="96"/>
      <c r="AA20" s="96"/>
      <c r="AB20" s="96"/>
      <c r="AC20" s="96"/>
      <c r="AD20" s="96"/>
      <c r="AE20" s="96"/>
      <c r="AF20" s="493"/>
      <c r="AG20" s="97"/>
      <c r="AH20" s="97"/>
      <c r="AI20" s="97"/>
      <c r="AJ20" s="239"/>
      <c r="AM20" s="480"/>
    </row>
    <row r="21" s="4" customFormat="1" ht="17.1" customHeight="1" spans="1:39">
      <c r="A21" s="496" t="s">
        <v>3711</v>
      </c>
      <c r="B21" s="497"/>
      <c r="C21" s="497"/>
      <c r="D21" s="497"/>
      <c r="E21" s="497"/>
      <c r="F21" s="497"/>
      <c r="G21" s="497"/>
      <c r="H21" s="497"/>
      <c r="I21" s="497"/>
      <c r="J21" s="498">
        <f>SUM(L21:X21)</f>
        <v>86832</v>
      </c>
      <c r="K21" s="497"/>
      <c r="L21" s="497">
        <f>5001+1675+1100</f>
        <v>7776</v>
      </c>
      <c r="M21" s="497">
        <f>5001+2010+1320</f>
        <v>8331</v>
      </c>
      <c r="N21" s="497">
        <f>5001+1675+1100</f>
        <v>7776</v>
      </c>
      <c r="O21" s="497">
        <f>5001+1675+1100</f>
        <v>7776</v>
      </c>
      <c r="P21" s="497">
        <f>3334+1675+1100</f>
        <v>6109</v>
      </c>
      <c r="Q21" s="497">
        <f>3334+1675+1100</f>
        <v>6109</v>
      </c>
      <c r="R21" s="497">
        <f>3334+1675+1100</f>
        <v>6109</v>
      </c>
      <c r="S21" s="497">
        <f>2784+2400+306+201+450</f>
        <v>6141</v>
      </c>
      <c r="T21" s="497">
        <f t="shared" ref="T21:X21" si="5">2784+2400+306+201+450</f>
        <v>6141</v>
      </c>
      <c r="U21" s="497">
        <f t="shared" si="5"/>
        <v>6141</v>
      </c>
      <c r="V21" s="497">
        <f t="shared" si="5"/>
        <v>6141</v>
      </c>
      <c r="W21" s="497">
        <f t="shared" si="5"/>
        <v>6141</v>
      </c>
      <c r="X21" s="497">
        <f t="shared" si="5"/>
        <v>6141</v>
      </c>
      <c r="Y21" s="497"/>
      <c r="Z21" s="96"/>
      <c r="AA21" s="96"/>
      <c r="AB21" s="96"/>
      <c r="AC21" s="96"/>
      <c r="AD21" s="96"/>
      <c r="AE21" s="100"/>
      <c r="AF21" s="100"/>
      <c r="AG21" s="100"/>
      <c r="AH21" s="100"/>
      <c r="AI21" s="100"/>
      <c r="AJ21" s="240"/>
      <c r="AM21" s="499"/>
    </row>
    <row r="22" s="4" customFormat="1" ht="18.75" customHeight="1" spans="1:39">
      <c r="A22" s="500" t="s">
        <v>67</v>
      </c>
      <c r="B22" s="501"/>
      <c r="C22" s="501"/>
      <c r="D22" s="501"/>
      <c r="E22" s="501"/>
      <c r="F22" s="501"/>
      <c r="G22" s="501"/>
      <c r="H22" s="501"/>
      <c r="I22" s="501"/>
      <c r="J22" s="502">
        <f>J21-J20</f>
        <v>-7812</v>
      </c>
      <c r="K22" s="503"/>
      <c r="L22" s="504">
        <f t="shared" ref="L22:X22" si="6">L21-L20</f>
        <v>-2515</v>
      </c>
      <c r="M22" s="504">
        <f t="shared" si="6"/>
        <v>-3018</v>
      </c>
      <c r="N22" s="504">
        <f t="shared" si="6"/>
        <v>-2515</v>
      </c>
      <c r="O22" s="504">
        <f t="shared" si="6"/>
        <v>-2515</v>
      </c>
      <c r="P22" s="504">
        <f t="shared" si="6"/>
        <v>-2515</v>
      </c>
      <c r="Q22" s="504">
        <f t="shared" si="6"/>
        <v>-2515</v>
      </c>
      <c r="R22" s="504">
        <f t="shared" si="6"/>
        <v>-2515</v>
      </c>
      <c r="S22" s="504">
        <f t="shared" si="6"/>
        <v>-3000</v>
      </c>
      <c r="T22" s="504">
        <f t="shared" si="6"/>
        <v>-3000</v>
      </c>
      <c r="U22" s="504">
        <f t="shared" si="6"/>
        <v>-3000</v>
      </c>
      <c r="V22" s="504">
        <f t="shared" si="6"/>
        <v>-3000</v>
      </c>
      <c r="W22" s="504">
        <f t="shared" si="6"/>
        <v>-3000</v>
      </c>
      <c r="X22" s="504">
        <f t="shared" si="6"/>
        <v>-3000</v>
      </c>
      <c r="Y22" s="505"/>
      <c r="Z22" s="506"/>
      <c r="AA22" s="506"/>
      <c r="AB22" s="506"/>
      <c r="AC22" s="506"/>
      <c r="AD22" s="506"/>
      <c r="AE22" s="507"/>
      <c r="AF22" s="506"/>
      <c r="AG22" s="506"/>
      <c r="AH22" s="506"/>
      <c r="AI22" s="506"/>
      <c r="AJ22" s="508"/>
      <c r="AM22" s="499"/>
    </row>
    <row r="23" ht="15" spans="1:39">
      <c r="A23" s="509"/>
      <c r="B23" s="510" t="s">
        <v>68</v>
      </c>
      <c r="C23" s="510"/>
      <c r="D23" s="511"/>
      <c r="E23" s="511"/>
      <c r="F23" s="511"/>
      <c r="G23" s="511"/>
      <c r="H23" s="511"/>
      <c r="I23" s="511"/>
      <c r="J23" s="512"/>
      <c r="K23" s="513"/>
      <c r="L23" s="513"/>
      <c r="M23" s="513"/>
      <c r="N23" s="513"/>
      <c r="O23" s="513"/>
      <c r="P23" s="513"/>
      <c r="Q23" s="513"/>
      <c r="R23" s="513"/>
      <c r="S23" s="513"/>
      <c r="T23" s="513"/>
      <c r="U23" s="513"/>
      <c r="V23" s="513"/>
      <c r="W23" s="513"/>
      <c r="X23" s="513"/>
      <c r="Y23" s="514"/>
      <c r="Z23" s="515"/>
      <c r="AA23" s="107"/>
      <c r="AB23" s="515"/>
      <c r="AC23" s="515"/>
      <c r="AD23" s="515"/>
      <c r="AE23" s="516"/>
      <c r="AF23" s="513"/>
      <c r="AG23" s="517"/>
      <c r="AH23" s="517"/>
      <c r="AI23" s="517"/>
      <c r="AJ23" s="518"/>
    </row>
    <row r="24" spans="1:39">
      <c r="L24" s="170"/>
    </row>
  </sheetData>
  <autoFilter xmlns:etc="http://www.wps.cn/officeDocument/2017/etCustomData" ref="A3:AK28" etc:filterBottomFollowUsedRange="0">
    <filterColumn colId="34">
      <filters blank="1"/>
    </filterColumn>
    <extLst/>
  </autoFilter>
  <mergeCells count="31">
    <mergeCell ref="A1:AE1"/>
    <mergeCell ref="AF1:AG1"/>
    <mergeCell ref="AH1:AJ1"/>
    <mergeCell ref="L2:R2"/>
    <mergeCell ref="S2:X2"/>
    <mergeCell ref="A20:I20"/>
    <mergeCell ref="A21:I21"/>
    <mergeCell ref="A22:I2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</mergeCells>
  <conditionalFormatting sqref="L22:X22">
    <cfRule type="cellIs" dxfId="1" priority="1" operator="lessThan">
      <formula>0</formula>
    </cfRule>
  </conditionalFormatting>
  <printOptions horizontalCentered="1"/>
  <pageMargins left="0" right="0" top="0.196527777777778" bottom="0.196527777777778" header="0.511805555555556" footer="0.511805555555556"/>
  <pageSetup paperSize="9" scale="49" firstPageNumber="4294967295" orientation="landscape" useFirstPageNumber="1"/>
  <headerFooter alignWithMargins="0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AB11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S20" sqref="S20"/>
    </sheetView>
  </sheetViews>
  <sheetFormatPr defaultColWidth="9" defaultRowHeight="14.25"/>
  <cols>
    <col min="1" max="1" width="3.5" customWidth="1"/>
    <col min="4" max="4" width="11.625" customWidth="1"/>
    <col min="5" max="5" width="10.875" customWidth="1"/>
    <col min="6" max="9" width="5.25" customWidth="1"/>
    <col min="10" max="10" width="7" customWidth="1"/>
    <col min="11" max="11" width="4.875" customWidth="1"/>
    <col min="12" max="14" width="7.375" customWidth="1"/>
    <col min="15" max="15" width="8.25" customWidth="1"/>
    <col min="16" max="16" width="4.625" customWidth="1"/>
    <col min="17" max="19" width="5.75" customWidth="1"/>
    <col min="20" max="20" width="8.375" customWidth="1"/>
    <col min="21" max="21" width="26.875" customWidth="1"/>
    <col min="26" max="26" width="14.75" customWidth="1"/>
    <col min="27" max="27" width="16.625" customWidth="1"/>
  </cols>
  <sheetData>
    <row r="1" ht="38.1" customHeight="1" spans="1:28">
      <c r="A1" s="375" t="s">
        <v>3861</v>
      </c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7"/>
      <c r="W1" s="198" t="s">
        <v>1</v>
      </c>
      <c r="X1" s="378"/>
      <c r="Y1" s="379">
        <f ca="1">TODAY()</f>
        <v>46277</v>
      </c>
      <c r="Z1" s="379"/>
      <c r="AA1" s="332"/>
      <c r="AB1" s="332"/>
    </row>
    <row r="2" ht="21" customHeight="1" spans="1:28">
      <c r="A2" s="380" t="s">
        <v>2</v>
      </c>
      <c r="B2" s="29" t="s">
        <v>3</v>
      </c>
      <c r="C2" s="29" t="s">
        <v>4</v>
      </c>
      <c r="D2" s="29" t="s">
        <v>5</v>
      </c>
      <c r="E2" s="381" t="s">
        <v>6</v>
      </c>
      <c r="F2" s="29" t="s">
        <v>7</v>
      </c>
      <c r="G2" s="29" t="s">
        <v>8</v>
      </c>
      <c r="H2" s="29" t="s">
        <v>9</v>
      </c>
      <c r="I2" s="29" t="s">
        <v>10</v>
      </c>
      <c r="J2" s="382" t="s">
        <v>11</v>
      </c>
      <c r="K2" s="29" t="s">
        <v>12</v>
      </c>
      <c r="L2" s="383" t="s">
        <v>13</v>
      </c>
      <c r="M2" s="383"/>
      <c r="N2" s="383"/>
      <c r="O2" s="384" t="s">
        <v>14</v>
      </c>
      <c r="P2" s="385" t="s">
        <v>15</v>
      </c>
      <c r="Q2" s="385" t="s">
        <v>1907</v>
      </c>
      <c r="R2" s="386" t="s">
        <v>178</v>
      </c>
      <c r="S2" s="385" t="s">
        <v>19</v>
      </c>
      <c r="T2" s="386" t="s">
        <v>20</v>
      </c>
      <c r="U2" s="387" t="s">
        <v>21</v>
      </c>
      <c r="V2" s="384" t="s">
        <v>3862</v>
      </c>
      <c r="W2" s="388" t="s">
        <v>23</v>
      </c>
      <c r="X2" s="388" t="s">
        <v>24</v>
      </c>
      <c r="Y2" s="388" t="s">
        <v>25</v>
      </c>
      <c r="Z2" s="389" t="s">
        <v>26</v>
      </c>
      <c r="AA2" s="190"/>
      <c r="AB2" s="190"/>
    </row>
    <row r="3" ht="26.1" customHeight="1" spans="1:28">
      <c r="A3" s="380"/>
      <c r="B3" s="29"/>
      <c r="C3" s="29"/>
      <c r="D3" s="29"/>
      <c r="E3" s="29"/>
      <c r="F3" s="29"/>
      <c r="G3" s="29"/>
      <c r="H3" s="29"/>
      <c r="I3" s="29"/>
      <c r="J3" s="382"/>
      <c r="K3" s="29"/>
      <c r="L3" s="390" t="s">
        <v>3863</v>
      </c>
      <c r="M3" s="390" t="s">
        <v>3864</v>
      </c>
      <c r="N3" s="390" t="s">
        <v>3865</v>
      </c>
      <c r="O3" s="384"/>
      <c r="P3" s="385"/>
      <c r="Q3" s="385"/>
      <c r="R3" s="386"/>
      <c r="S3" s="385"/>
      <c r="T3" s="386"/>
      <c r="U3" s="387"/>
      <c r="V3" s="384"/>
      <c r="W3" s="388"/>
      <c r="X3" s="388"/>
      <c r="Y3" s="388"/>
      <c r="Z3" s="389"/>
      <c r="AA3" s="206" t="s">
        <v>65</v>
      </c>
      <c r="AB3" s="190" t="s">
        <v>381</v>
      </c>
    </row>
    <row r="4" ht="39" customHeight="1" spans="1:28">
      <c r="A4" s="391">
        <f>ROW()-3</f>
        <v>1</v>
      </c>
      <c r="B4" s="392" t="s">
        <v>3866</v>
      </c>
      <c r="C4" s="393" t="s">
        <v>124</v>
      </c>
      <c r="D4" s="394" t="s">
        <v>3867</v>
      </c>
      <c r="E4" s="395" t="s">
        <v>3868</v>
      </c>
      <c r="F4" s="396">
        <v>46233</v>
      </c>
      <c r="G4" s="396">
        <v>46311</v>
      </c>
      <c r="H4" s="396"/>
      <c r="I4" s="397">
        <v>46239</v>
      </c>
      <c r="J4" s="398">
        <f>SUM(L4:N4)</f>
        <v>0</v>
      </c>
      <c r="K4" s="399">
        <v>72</v>
      </c>
      <c r="L4" s="399"/>
      <c r="M4" s="399"/>
      <c r="N4" s="399"/>
      <c r="O4" s="392" t="s">
        <v>3869</v>
      </c>
      <c r="P4" s="393" t="s">
        <v>81</v>
      </c>
      <c r="Q4" s="400"/>
      <c r="R4" s="400"/>
      <c r="S4" s="401"/>
      <c r="T4" s="392" t="s">
        <v>3869</v>
      </c>
      <c r="U4" s="392" t="s">
        <v>3870</v>
      </c>
      <c r="V4" s="402">
        <v>46311</v>
      </c>
      <c r="W4" s="403"/>
      <c r="X4" s="404"/>
      <c r="Y4" s="405"/>
      <c r="Z4" s="406" t="s">
        <v>3871</v>
      </c>
      <c r="AA4" s="3" t="s">
        <v>3872</v>
      </c>
      <c r="AB4" s="3" t="s">
        <v>1607</v>
      </c>
    </row>
    <row r="5" ht="39" customHeight="1" spans="1:28">
      <c r="A5" s="407">
        <f>ROW()-3</f>
        <v>2</v>
      </c>
      <c r="B5" s="408" t="s">
        <v>3866</v>
      </c>
      <c r="C5" s="409" t="s">
        <v>124</v>
      </c>
      <c r="D5" s="410"/>
      <c r="E5" s="410"/>
      <c r="F5" s="411">
        <v>46233</v>
      </c>
      <c r="G5" s="411">
        <v>46315</v>
      </c>
      <c r="H5" s="411">
        <v>46315</v>
      </c>
      <c r="I5" s="412"/>
      <c r="J5" s="413">
        <f>SUM(L5:N5)</f>
        <v>25200</v>
      </c>
      <c r="K5" s="414">
        <v>72</v>
      </c>
      <c r="L5" s="415">
        <v>8400</v>
      </c>
      <c r="M5" s="415">
        <v>8400</v>
      </c>
      <c r="N5" s="415">
        <v>8400</v>
      </c>
      <c r="O5" s="416" t="s">
        <v>3869</v>
      </c>
      <c r="P5" s="417" t="s">
        <v>81</v>
      </c>
      <c r="Q5" s="418"/>
      <c r="R5" s="418"/>
      <c r="S5" s="419"/>
      <c r="T5" s="420" t="s">
        <v>3869</v>
      </c>
      <c r="U5" s="420" t="s">
        <v>3870</v>
      </c>
      <c r="V5" s="421"/>
      <c r="W5" s="422"/>
      <c r="X5" s="422"/>
      <c r="Y5" s="423"/>
      <c r="Z5" s="424" t="s">
        <v>3871</v>
      </c>
      <c r="AA5" s="3" t="s">
        <v>3872</v>
      </c>
      <c r="AB5" s="3"/>
    </row>
    <row r="6" ht="39" customHeight="1" spans="1:28">
      <c r="A6" s="425">
        <f>ROW()-3</f>
        <v>3</v>
      </c>
      <c r="B6" s="420"/>
      <c r="C6" s="417"/>
      <c r="D6" s="426"/>
      <c r="E6" s="426"/>
      <c r="F6" s="427"/>
      <c r="G6" s="427"/>
      <c r="H6" s="427"/>
      <c r="I6" s="428"/>
      <c r="J6" s="429"/>
      <c r="K6" s="430"/>
      <c r="L6" s="415"/>
      <c r="M6" s="415"/>
      <c r="N6" s="415"/>
      <c r="O6" s="416"/>
      <c r="P6" s="417"/>
      <c r="Q6" s="423"/>
      <c r="R6" s="423"/>
      <c r="S6" s="417"/>
      <c r="T6" s="420"/>
      <c r="U6" s="420"/>
      <c r="V6" s="421"/>
      <c r="W6" s="422"/>
      <c r="X6" s="422"/>
      <c r="Y6" s="423"/>
      <c r="Z6" s="424"/>
      <c r="AA6" s="3"/>
      <c r="AB6" s="3"/>
    </row>
    <row r="7" ht="39" customHeight="1" spans="1:28">
      <c r="A7" s="425"/>
      <c r="B7" s="420"/>
      <c r="C7" s="417"/>
      <c r="D7" s="426"/>
      <c r="E7" s="426"/>
      <c r="F7" s="427"/>
      <c r="G7" s="427"/>
      <c r="H7" s="427"/>
      <c r="I7" s="428"/>
      <c r="J7" s="429"/>
      <c r="K7" s="430"/>
      <c r="L7" s="415"/>
      <c r="M7" s="415"/>
      <c r="N7" s="415"/>
      <c r="O7" s="431"/>
      <c r="P7" s="417"/>
      <c r="Q7" s="418"/>
      <c r="R7" s="418"/>
      <c r="S7" s="420"/>
      <c r="T7" s="420"/>
      <c r="U7" s="420"/>
      <c r="V7" s="423"/>
      <c r="W7" s="422"/>
      <c r="X7" s="423"/>
      <c r="Y7" s="423"/>
      <c r="Z7" s="424"/>
      <c r="AA7" s="3"/>
      <c r="AB7" s="3"/>
    </row>
    <row r="8" ht="17.1" customHeight="1" spans="1:28">
      <c r="A8" s="432" t="s">
        <v>66</v>
      </c>
      <c r="B8" s="432"/>
      <c r="C8" s="432"/>
      <c r="D8" s="432"/>
      <c r="E8" s="432"/>
      <c r="F8" s="432"/>
      <c r="G8" s="432"/>
      <c r="H8" s="432"/>
      <c r="I8" s="432"/>
      <c r="J8" s="429">
        <f>SUM(L8:N8)</f>
        <v>25200</v>
      </c>
      <c r="K8" s="430"/>
      <c r="L8" s="430">
        <f t="shared" ref="L8:N8" si="0">SUM(L4:L7)</f>
        <v>8400</v>
      </c>
      <c r="M8" s="430">
        <f t="shared" si="0"/>
        <v>8400</v>
      </c>
      <c r="N8" s="430">
        <f t="shared" si="0"/>
        <v>8400</v>
      </c>
      <c r="O8" s="430"/>
      <c r="P8" s="417"/>
      <c r="Q8" s="417"/>
      <c r="R8" s="417"/>
      <c r="S8" s="417"/>
      <c r="T8" s="417"/>
      <c r="U8" s="417"/>
      <c r="V8" s="423"/>
      <c r="W8" s="423"/>
      <c r="X8" s="423"/>
      <c r="Y8" s="423"/>
      <c r="Z8" s="433"/>
      <c r="AA8" s="3"/>
      <c r="AB8" s="3"/>
    </row>
    <row r="9" customHeight="1" spans="1:28">
      <c r="A9" s="434"/>
      <c r="B9" s="434"/>
      <c r="C9" s="434"/>
      <c r="D9" s="434"/>
      <c r="E9" s="434"/>
      <c r="F9" s="434"/>
      <c r="G9" s="434"/>
      <c r="H9" s="434"/>
      <c r="I9" s="434"/>
      <c r="J9" s="435">
        <f>SUM(L9:N9)</f>
        <v>0</v>
      </c>
      <c r="K9" s="436"/>
      <c r="L9" s="437"/>
      <c r="M9" s="437"/>
      <c r="N9" s="437"/>
      <c r="O9" s="437"/>
      <c r="P9" s="436"/>
      <c r="Q9" s="436"/>
      <c r="R9" s="436"/>
      <c r="S9" s="436"/>
      <c r="T9" s="436"/>
      <c r="U9" s="436"/>
      <c r="V9" s="436"/>
      <c r="W9" s="436"/>
      <c r="X9" s="436"/>
      <c r="Y9" s="436"/>
      <c r="Z9" s="438"/>
      <c r="AA9" s="367"/>
      <c r="AB9" s="367"/>
    </row>
    <row r="10" ht="15.75" customHeight="1" spans="1:28">
      <c r="A10" s="439" t="s">
        <v>67</v>
      </c>
      <c r="B10" s="439"/>
      <c r="C10" s="439"/>
      <c r="D10" s="439"/>
      <c r="E10" s="439"/>
      <c r="F10" s="439"/>
      <c r="G10" s="439"/>
      <c r="H10" s="439"/>
      <c r="I10" s="439"/>
      <c r="J10" s="440">
        <f>J9-J8</f>
        <v>-25200</v>
      </c>
      <c r="K10" s="441"/>
      <c r="L10" s="440">
        <f t="shared" ref="L10:N10" si="1">L9-L8</f>
        <v>-8400</v>
      </c>
      <c r="M10" s="440">
        <f t="shared" si="1"/>
        <v>-8400</v>
      </c>
      <c r="N10" s="440">
        <f t="shared" si="1"/>
        <v>-8400</v>
      </c>
      <c r="O10" s="440"/>
      <c r="P10" s="440"/>
      <c r="Q10" s="440"/>
      <c r="R10" s="440"/>
      <c r="S10" s="440"/>
      <c r="T10" s="440"/>
      <c r="U10" s="440"/>
      <c r="V10" s="442"/>
      <c r="W10" s="442"/>
      <c r="X10" s="442"/>
      <c r="Y10" s="442"/>
      <c r="Z10" s="443"/>
      <c r="AA10" s="367"/>
      <c r="AB10" s="367"/>
    </row>
    <row r="11" customHeight="1" spans="1:28">
      <c r="A11" s="332"/>
      <c r="B11" s="110" t="s">
        <v>68</v>
      </c>
      <c r="C11" s="110"/>
      <c r="D11" s="370"/>
      <c r="E11" s="370"/>
      <c r="F11" s="370"/>
      <c r="G11" s="370"/>
      <c r="H11" s="444"/>
      <c r="I11" s="444"/>
      <c r="J11" s="372"/>
      <c r="K11" s="332"/>
      <c r="L11" s="445"/>
      <c r="M11" s="445"/>
      <c r="N11" s="445"/>
      <c r="O11" s="332"/>
      <c r="P11" s="332"/>
      <c r="Q11" s="332"/>
      <c r="R11" s="332"/>
      <c r="S11" s="332"/>
      <c r="T11" s="332"/>
      <c r="U11" s="332"/>
      <c r="V11" s="332"/>
      <c r="W11" s="374"/>
      <c r="X11" s="374"/>
      <c r="Y11" s="374"/>
      <c r="Z11" s="332"/>
      <c r="AA11" s="332"/>
      <c r="AB11" s="332"/>
    </row>
  </sheetData>
  <autoFilter xmlns:etc="http://www.wps.cn/officeDocument/2017/etCustomData" ref="A3:AB6" etc:filterBottomFollowUsedRange="0">
    <extLst/>
  </autoFilter>
  <mergeCells count="31">
    <mergeCell ref="A1:V1"/>
    <mergeCell ref="W1:X1"/>
    <mergeCell ref="Y1:Z1"/>
    <mergeCell ref="L2:N2"/>
    <mergeCell ref="A8:I8"/>
    <mergeCell ref="A9:I9"/>
    <mergeCell ref="A10:I10"/>
    <mergeCell ref="H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</mergeCells>
  <pageMargins left="0.75" right="0.75" top="1" bottom="1" header="0.5" footer="0.5"/>
  <pageSetup paperSize="9" scale="81" orientation="landscape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AB11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M16" sqref="M16"/>
    </sheetView>
  </sheetViews>
  <sheetFormatPr defaultColWidth="9" defaultRowHeight="14.25"/>
  <cols>
    <col min="1" max="1" width="4.25" customWidth="1"/>
    <col min="4" max="4" width="10.625" customWidth="1"/>
    <col min="5" max="5" width="10.75" customWidth="1"/>
    <col min="6" max="9" width="5.25" customWidth="1"/>
    <col min="10" max="10" width="6.625" customWidth="1"/>
    <col min="11" max="11" width="4.375" customWidth="1"/>
    <col min="12" max="14" width="6.5" customWidth="1"/>
    <col min="15" max="15" width="7.875" customWidth="1"/>
    <col min="16" max="16" width="4.625" customWidth="1"/>
    <col min="17" max="19" width="6.375" customWidth="1"/>
    <col min="20" max="20" width="7.625" customWidth="1"/>
    <col min="21" max="21" width="26.375" customWidth="1"/>
    <col min="26" max="26" width="12.75" customWidth="1"/>
    <col min="27" max="27" width="17.5" customWidth="1"/>
    <col min="28" max="28" width="9" style="328"/>
  </cols>
  <sheetData>
    <row r="1" ht="36" customHeight="1" spans="1:28">
      <c r="A1" s="329" t="s">
        <v>3873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30" t="s">
        <v>1</v>
      </c>
      <c r="X1" s="330"/>
      <c r="Y1" s="331">
        <f ca="1">TODAY()</f>
        <v>46277</v>
      </c>
      <c r="Z1" s="331"/>
      <c r="AA1" s="332"/>
    </row>
    <row r="2" ht="18" customHeight="1" spans="1:28">
      <c r="A2" s="333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334" t="s">
        <v>11</v>
      </c>
      <c r="K2" s="15" t="s">
        <v>12</v>
      </c>
      <c r="L2" s="335" t="s">
        <v>13</v>
      </c>
      <c r="M2" s="335"/>
      <c r="N2" s="335"/>
      <c r="O2" s="336" t="s">
        <v>14</v>
      </c>
      <c r="P2" s="337" t="s">
        <v>15</v>
      </c>
      <c r="Q2" s="337" t="s">
        <v>1907</v>
      </c>
      <c r="R2" s="337" t="s">
        <v>178</v>
      </c>
      <c r="S2" s="337" t="s">
        <v>19</v>
      </c>
      <c r="T2" s="337" t="s">
        <v>20</v>
      </c>
      <c r="U2" s="338" t="s">
        <v>21</v>
      </c>
      <c r="V2" s="336" t="s">
        <v>3874</v>
      </c>
      <c r="W2" s="339" t="s">
        <v>23</v>
      </c>
      <c r="X2" s="339" t="s">
        <v>24</v>
      </c>
      <c r="Y2" s="339" t="s">
        <v>25</v>
      </c>
      <c r="Z2" s="15" t="s">
        <v>26</v>
      </c>
      <c r="AA2" s="190"/>
    </row>
    <row r="3" ht="30.95" customHeight="1" spans="1:28">
      <c r="A3" s="333"/>
      <c r="B3" s="15"/>
      <c r="C3" s="15"/>
      <c r="D3" s="15"/>
      <c r="E3" s="15"/>
      <c r="F3" s="15"/>
      <c r="G3" s="15"/>
      <c r="H3" s="15"/>
      <c r="I3" s="15"/>
      <c r="J3" s="334"/>
      <c r="K3" s="15"/>
      <c r="L3" s="262" t="s">
        <v>3875</v>
      </c>
      <c r="M3" s="262" t="s">
        <v>3876</v>
      </c>
      <c r="N3" s="262" t="s">
        <v>3877</v>
      </c>
      <c r="O3" s="336"/>
      <c r="P3" s="337"/>
      <c r="Q3" s="337"/>
      <c r="R3" s="337"/>
      <c r="S3" s="337"/>
      <c r="T3" s="337"/>
      <c r="U3" s="338"/>
      <c r="V3" s="336"/>
      <c r="W3" s="339"/>
      <c r="X3" s="339"/>
      <c r="Y3" s="339"/>
      <c r="Z3" s="15"/>
      <c r="AA3" s="190" t="s">
        <v>65</v>
      </c>
      <c r="AB3" s="328" t="s">
        <v>381</v>
      </c>
    </row>
    <row r="4" ht="42" customHeight="1" spans="1:28">
      <c r="A4" s="340">
        <v>1</v>
      </c>
      <c r="B4" s="341" t="s">
        <v>3866</v>
      </c>
      <c r="C4" s="342" t="s">
        <v>124</v>
      </c>
      <c r="D4" s="343" t="s">
        <v>3867</v>
      </c>
      <c r="E4" s="344" t="s">
        <v>3868</v>
      </c>
      <c r="F4" s="345">
        <v>46233</v>
      </c>
      <c r="G4" s="345">
        <v>46311</v>
      </c>
      <c r="H4" s="345"/>
      <c r="I4" s="346">
        <v>46239</v>
      </c>
      <c r="J4" s="347">
        <f>SUM(L4:N4)</f>
        <v>0</v>
      </c>
      <c r="K4" s="348">
        <v>72</v>
      </c>
      <c r="L4" s="348"/>
      <c r="M4" s="348"/>
      <c r="N4" s="348"/>
      <c r="O4" s="341" t="s">
        <v>3869</v>
      </c>
      <c r="P4" s="342" t="s">
        <v>81</v>
      </c>
      <c r="Q4" s="349"/>
      <c r="R4" s="349"/>
      <c r="S4" s="349"/>
      <c r="T4" s="350" t="s">
        <v>3869</v>
      </c>
      <c r="U4" s="341" t="s">
        <v>3870</v>
      </c>
      <c r="V4" s="351">
        <v>46311</v>
      </c>
      <c r="W4" s="352"/>
      <c r="X4" s="349"/>
      <c r="Y4" s="353"/>
      <c r="Z4" s="341" t="s">
        <v>3871</v>
      </c>
      <c r="AA4" s="3" t="s">
        <v>3878</v>
      </c>
      <c r="AB4" s="328" t="s">
        <v>1607</v>
      </c>
    </row>
    <row r="5" ht="42" customHeight="1" spans="1:28">
      <c r="A5" s="354">
        <v>1</v>
      </c>
      <c r="B5" s="269" t="s">
        <v>3866</v>
      </c>
      <c r="C5" s="270" t="s">
        <v>124</v>
      </c>
      <c r="D5" s="271"/>
      <c r="E5" s="271"/>
      <c r="F5" s="273">
        <v>46233</v>
      </c>
      <c r="G5" s="273">
        <v>46315</v>
      </c>
      <c r="H5" s="273">
        <v>46315</v>
      </c>
      <c r="I5" s="274"/>
      <c r="J5" s="355">
        <f>SUM(L5:N5)</f>
        <v>25200</v>
      </c>
      <c r="K5" s="276">
        <v>72</v>
      </c>
      <c r="L5" s="356">
        <v>8400</v>
      </c>
      <c r="M5" s="356">
        <v>8400</v>
      </c>
      <c r="N5" s="356">
        <v>8400</v>
      </c>
      <c r="O5" s="357" t="s">
        <v>3869</v>
      </c>
      <c r="P5" s="96" t="s">
        <v>81</v>
      </c>
      <c r="Q5" s="279"/>
      <c r="R5" s="279"/>
      <c r="S5" s="279"/>
      <c r="T5" s="297" t="s">
        <v>3869</v>
      </c>
      <c r="U5" s="183" t="s">
        <v>3870</v>
      </c>
      <c r="V5" s="358"/>
      <c r="W5" s="279"/>
      <c r="X5" s="279"/>
      <c r="Y5" s="97"/>
      <c r="Z5" s="183"/>
      <c r="AA5" s="3" t="s">
        <v>3878</v>
      </c>
    </row>
    <row r="6" ht="42" customHeight="1" spans="1:28">
      <c r="A6" s="359"/>
      <c r="B6" s="183"/>
      <c r="C6" s="96"/>
      <c r="D6" s="216"/>
      <c r="E6" s="216"/>
      <c r="F6" s="217"/>
      <c r="G6" s="217"/>
      <c r="H6" s="217"/>
      <c r="I6" s="218"/>
      <c r="J6" s="360"/>
      <c r="K6" s="95"/>
      <c r="L6" s="356"/>
      <c r="M6" s="356"/>
      <c r="N6" s="356"/>
      <c r="O6" s="361"/>
      <c r="P6" s="96"/>
      <c r="Q6" s="97"/>
      <c r="R6" s="97"/>
      <c r="S6" s="97"/>
      <c r="T6" s="96"/>
      <c r="U6" s="183"/>
      <c r="V6" s="358"/>
      <c r="W6" s="321"/>
      <c r="X6" s="321"/>
      <c r="Y6" s="97"/>
      <c r="Z6" s="183"/>
      <c r="AA6" s="3"/>
    </row>
    <row r="7" ht="42" customHeight="1" spans="1:28">
      <c r="A7" s="359"/>
      <c r="B7" s="183"/>
      <c r="C7" s="96"/>
      <c r="D7" s="216"/>
      <c r="E7" s="216"/>
      <c r="F7" s="217"/>
      <c r="G7" s="217"/>
      <c r="H7" s="217"/>
      <c r="I7" s="218"/>
      <c r="J7" s="360"/>
      <c r="K7" s="95"/>
      <c r="L7" s="356"/>
      <c r="M7" s="356"/>
      <c r="N7" s="356"/>
      <c r="O7" s="361"/>
      <c r="P7" s="96"/>
      <c r="Q7" s="279"/>
      <c r="R7" s="279"/>
      <c r="S7" s="279"/>
      <c r="T7" s="183"/>
      <c r="U7" s="183"/>
      <c r="V7" s="362"/>
      <c r="W7" s="321"/>
      <c r="X7" s="97"/>
      <c r="Y7" s="97"/>
      <c r="Z7" s="183"/>
      <c r="AA7" s="3"/>
    </row>
    <row r="8" ht="18.95" customHeight="1" spans="1:28">
      <c r="A8" s="363" t="s">
        <v>66</v>
      </c>
      <c r="B8" s="363"/>
      <c r="C8" s="363"/>
      <c r="D8" s="363"/>
      <c r="E8" s="363"/>
      <c r="F8" s="363"/>
      <c r="G8" s="363"/>
      <c r="H8" s="363"/>
      <c r="I8" s="363"/>
      <c r="J8" s="360">
        <f>SUM(L8:N8)</f>
        <v>25200</v>
      </c>
      <c r="K8" s="95"/>
      <c r="L8" s="95">
        <f>SUM(L4:L7)</f>
        <v>8400</v>
      </c>
      <c r="M8" s="95">
        <f>SUM(M4:M7)</f>
        <v>8400</v>
      </c>
      <c r="N8" s="95">
        <f>SUM(N4:N7)</f>
        <v>8400</v>
      </c>
      <c r="O8" s="95"/>
      <c r="P8" s="96"/>
      <c r="Q8" s="96"/>
      <c r="R8" s="96"/>
      <c r="S8" s="96"/>
      <c r="T8" s="96"/>
      <c r="U8" s="96"/>
      <c r="V8" s="97"/>
      <c r="W8" s="97"/>
      <c r="X8" s="97"/>
      <c r="Y8" s="97"/>
      <c r="Z8" s="96"/>
      <c r="AA8" s="3"/>
    </row>
    <row r="9" customHeight="1" spans="1:28">
      <c r="A9" s="364"/>
      <c r="B9" s="364"/>
      <c r="C9" s="364"/>
      <c r="D9" s="364"/>
      <c r="E9" s="364"/>
      <c r="F9" s="364"/>
      <c r="G9" s="364"/>
      <c r="H9" s="364"/>
      <c r="I9" s="364"/>
      <c r="J9" s="365">
        <f>SUM(L9:N9)</f>
        <v>46800</v>
      </c>
      <c r="K9" s="364"/>
      <c r="L9" s="366">
        <f t="shared" ref="L9:N9" si="0">15600</f>
        <v>15600</v>
      </c>
      <c r="M9" s="366">
        <f t="shared" si="0"/>
        <v>15600</v>
      </c>
      <c r="N9" s="366">
        <f t="shared" si="0"/>
        <v>15600</v>
      </c>
      <c r="O9" s="366"/>
      <c r="P9" s="364"/>
      <c r="Q9" s="364"/>
      <c r="R9" s="364"/>
      <c r="S9" s="364"/>
      <c r="T9" s="364"/>
      <c r="U9" s="364"/>
      <c r="V9" s="364"/>
      <c r="W9" s="364"/>
      <c r="X9" s="364"/>
      <c r="Y9" s="364"/>
      <c r="Z9" s="364"/>
      <c r="AA9" s="367"/>
    </row>
    <row r="10" ht="17.1" customHeight="1" spans="1:28">
      <c r="A10" s="149" t="s">
        <v>67</v>
      </c>
      <c r="B10" s="149"/>
      <c r="C10" s="149"/>
      <c r="D10" s="149"/>
      <c r="E10" s="149"/>
      <c r="F10" s="149"/>
      <c r="G10" s="149"/>
      <c r="H10" s="149"/>
      <c r="I10" s="149"/>
      <c r="J10" s="151">
        <f>J9-J8</f>
        <v>21600</v>
      </c>
      <c r="K10" s="368"/>
      <c r="L10" s="151">
        <f t="shared" ref="L10:N10" si="1">L9-L8</f>
        <v>7200</v>
      </c>
      <c r="M10" s="151">
        <f t="shared" si="1"/>
        <v>7200</v>
      </c>
      <c r="N10" s="151">
        <f t="shared" si="1"/>
        <v>7200</v>
      </c>
      <c r="O10" s="151"/>
      <c r="P10" s="151"/>
      <c r="Q10" s="151"/>
      <c r="R10" s="151"/>
      <c r="S10" s="151"/>
      <c r="T10" s="151"/>
      <c r="U10" s="151"/>
      <c r="V10" s="364"/>
      <c r="W10" s="364"/>
      <c r="X10" s="364"/>
      <c r="Y10" s="364"/>
      <c r="Z10" s="364"/>
      <c r="AA10" s="367"/>
    </row>
    <row r="11" customHeight="1" spans="1:28">
      <c r="A11" s="369"/>
      <c r="B11" s="110" t="s">
        <v>68</v>
      </c>
      <c r="C11" s="110"/>
      <c r="D11" s="370"/>
      <c r="E11" s="370"/>
      <c r="F11" s="370"/>
      <c r="G11" s="370"/>
      <c r="H11" s="371"/>
      <c r="I11" s="371"/>
      <c r="J11" s="372"/>
      <c r="K11" s="332"/>
      <c r="L11" s="373"/>
      <c r="M11" s="373"/>
      <c r="N11" s="373"/>
      <c r="O11" s="332"/>
      <c r="P11" s="332"/>
      <c r="Q11" s="332"/>
      <c r="R11" s="332"/>
      <c r="S11" s="332"/>
      <c r="T11" s="332"/>
      <c r="U11" s="332"/>
      <c r="V11" s="332"/>
      <c r="W11" s="374"/>
      <c r="X11" s="374"/>
      <c r="Y11" s="374"/>
      <c r="Z11" s="332"/>
      <c r="AA11" s="332"/>
    </row>
  </sheetData>
  <autoFilter xmlns:etc="http://www.wps.cn/officeDocument/2017/etCustomData" ref="A3:AB5" etc:filterBottomFollowUsedRange="0">
    <extLst/>
  </autoFilter>
  <mergeCells count="31">
    <mergeCell ref="A1:V1"/>
    <mergeCell ref="W1:X1"/>
    <mergeCell ref="Y1:Z1"/>
    <mergeCell ref="L2:N2"/>
    <mergeCell ref="A8:I8"/>
    <mergeCell ref="A9:I9"/>
    <mergeCell ref="A10:I10"/>
    <mergeCell ref="H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</mergeCells>
  <pageMargins left="0.75" right="0.75" top="1" bottom="1" header="0.5" footer="0.5"/>
  <pageSetup paperSize="9" scale="84" orientation="landscape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99FF"/>
    <pageSetUpPr fitToPage="1"/>
  </sheetPr>
  <dimension ref="A1:AE27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W33" sqref="W33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1" customWidth="1"/>
    <col min="6" max="9" width="5.375" customWidth="1"/>
    <col min="10" max="10" width="7.125" customWidth="1"/>
    <col min="11" max="11" width="5.125" customWidth="1"/>
    <col min="12" max="16" width="6.625" customWidth="1"/>
    <col min="17" max="17" width="7.875" customWidth="1"/>
    <col min="18" max="22" width="5.25" customWidth="1"/>
    <col min="23" max="23" width="7.875" customWidth="1"/>
    <col min="24" max="24" width="20.375" customWidth="1"/>
    <col min="25" max="25" width="8.875" customWidth="1"/>
    <col min="26" max="26" width="10.125" style="113" customWidth="1"/>
    <col min="27" max="27" width="8.625" style="113" customWidth="1"/>
    <col min="28" max="28" width="8.125" style="113" customWidth="1"/>
    <col min="29" max="29" width="16.625" customWidth="1"/>
    <col min="30" max="30" width="16.625" style="288" customWidth="1"/>
    <col min="31" max="31" width="13.125" customWidth="1"/>
  </cols>
  <sheetData>
    <row r="1" ht="35.1" customHeight="1" spans="1:31">
      <c r="A1" s="298" t="s">
        <v>3879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300"/>
      <c r="Z1" s="259" t="s">
        <v>1</v>
      </c>
      <c r="AA1" s="260"/>
      <c r="AB1" s="200">
        <f ca="1">TODAY()</f>
        <v>46277</v>
      </c>
      <c r="AC1" s="201"/>
      <c r="AD1" s="301"/>
    </row>
    <row r="2" s="190" customFormat="1" ht="21.95" customHeight="1" spans="1:31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7" t="s">
        <v>13</v>
      </c>
      <c r="M2" s="188"/>
      <c r="N2" s="188"/>
      <c r="O2" s="188"/>
      <c r="P2" s="188"/>
      <c r="Q2" s="19" t="s">
        <v>14</v>
      </c>
      <c r="R2" s="21" t="s">
        <v>15</v>
      </c>
      <c r="S2" s="21" t="s">
        <v>3804</v>
      </c>
      <c r="T2" s="22" t="s">
        <v>178</v>
      </c>
      <c r="U2" s="22" t="s">
        <v>18</v>
      </c>
      <c r="V2" s="21" t="s">
        <v>19</v>
      </c>
      <c r="W2" s="22" t="s">
        <v>20</v>
      </c>
      <c r="X2" s="24" t="s">
        <v>21</v>
      </c>
      <c r="Y2" s="19" t="s">
        <v>22</v>
      </c>
      <c r="Z2" s="302" t="s">
        <v>23</v>
      </c>
      <c r="AA2" s="26" t="s">
        <v>24</v>
      </c>
      <c r="AB2" s="26" t="s">
        <v>25</v>
      </c>
      <c r="AC2" s="27" t="s">
        <v>26</v>
      </c>
      <c r="AD2" s="190" t="s">
        <v>65</v>
      </c>
      <c r="AE2" s="190" t="s">
        <v>3880</v>
      </c>
    </row>
    <row r="3" s="190" customFormat="1" ht="24.95" customHeight="1" spans="1:31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4" t="s">
        <v>2247</v>
      </c>
      <c r="M3" s="292" t="s">
        <v>2565</v>
      </c>
      <c r="N3" s="264" t="s">
        <v>2248</v>
      </c>
      <c r="O3" s="292" t="s">
        <v>2566</v>
      </c>
      <c r="P3" s="264" t="s">
        <v>2567</v>
      </c>
      <c r="Q3" s="19"/>
      <c r="R3" s="21"/>
      <c r="S3" s="21"/>
      <c r="T3" s="32"/>
      <c r="U3" s="32"/>
      <c r="V3" s="21"/>
      <c r="W3" s="32"/>
      <c r="X3" s="24"/>
      <c r="Y3" s="19"/>
      <c r="Z3" s="303"/>
      <c r="AA3" s="26"/>
      <c r="AB3" s="26"/>
      <c r="AC3" s="27"/>
    </row>
    <row r="4" s="3" customFormat="1" ht="33.75" hidden="1" customHeight="1" spans="1:31">
      <c r="A4" s="208">
        <f>ROW()-3</f>
        <v>1</v>
      </c>
      <c r="B4" s="48" t="s">
        <v>3881</v>
      </c>
      <c r="C4" s="49" t="s">
        <v>466</v>
      </c>
      <c r="D4" s="50" t="s">
        <v>3821</v>
      </c>
      <c r="E4" s="50" t="s">
        <v>3822</v>
      </c>
      <c r="F4" s="52">
        <v>45960</v>
      </c>
      <c r="G4" s="52">
        <v>46034</v>
      </c>
      <c r="H4" s="52">
        <v>46034</v>
      </c>
      <c r="I4" s="53">
        <v>45966</v>
      </c>
      <c r="J4" s="175">
        <v>24000</v>
      </c>
      <c r="K4" s="175">
        <v>48</v>
      </c>
      <c r="L4" s="175">
        <f>J4/48*9</f>
        <v>4500</v>
      </c>
      <c r="M4" s="175">
        <f>J4/48*9</f>
        <v>4500</v>
      </c>
      <c r="N4" s="175">
        <f>J4/48*12</f>
        <v>6000</v>
      </c>
      <c r="O4" s="175">
        <f>J4/48*9</f>
        <v>4500</v>
      </c>
      <c r="P4" s="175">
        <f>J4/48*9</f>
        <v>4500</v>
      </c>
      <c r="Q4" s="48" t="s">
        <v>3823</v>
      </c>
      <c r="R4" s="49" t="s">
        <v>81</v>
      </c>
      <c r="S4" s="211" t="s">
        <v>808</v>
      </c>
      <c r="T4" s="211" t="s">
        <v>84</v>
      </c>
      <c r="U4" s="48" t="s">
        <v>2018</v>
      </c>
      <c r="V4" s="305" t="s">
        <v>673</v>
      </c>
      <c r="W4" s="305" t="s">
        <v>3823</v>
      </c>
      <c r="X4" s="48" t="s">
        <v>3882</v>
      </c>
      <c r="Y4" s="212">
        <v>46094</v>
      </c>
      <c r="Z4" s="176">
        <v>46030</v>
      </c>
      <c r="AA4" s="308"/>
      <c r="AB4" s="176">
        <v>46100</v>
      </c>
      <c r="AC4" s="177" t="s">
        <v>3826</v>
      </c>
      <c r="AD4" s="159" t="s">
        <v>3883</v>
      </c>
    </row>
    <row r="5" s="3" customFormat="1" ht="33.75" hidden="1" customHeight="1" spans="1:31">
      <c r="A5" s="208">
        <f t="shared" ref="A5:A15" si="0">ROW()-3</f>
        <v>2</v>
      </c>
      <c r="B5" s="48" t="s">
        <v>359</v>
      </c>
      <c r="C5" s="49" t="s">
        <v>360</v>
      </c>
      <c r="D5" s="50" t="s">
        <v>361</v>
      </c>
      <c r="E5" s="50" t="s">
        <v>3884</v>
      </c>
      <c r="F5" s="52">
        <v>45993</v>
      </c>
      <c r="G5" s="52">
        <v>46059</v>
      </c>
      <c r="H5" s="52">
        <v>46059</v>
      </c>
      <c r="I5" s="53">
        <v>45993</v>
      </c>
      <c r="J5" s="175">
        <v>2250</v>
      </c>
      <c r="K5" s="175">
        <v>18</v>
      </c>
      <c r="L5" s="175">
        <f t="shared" ref="L5:L9" si="1">J5/K5*4</f>
        <v>500</v>
      </c>
      <c r="M5" s="175">
        <f>J5/K5*4</f>
        <v>500</v>
      </c>
      <c r="N5" s="175">
        <f>J5/K5*4</f>
        <v>500</v>
      </c>
      <c r="O5" s="175">
        <f t="shared" ref="O5:O9" si="2">J5/K5*3</f>
        <v>375</v>
      </c>
      <c r="P5" s="175">
        <f t="shared" ref="P5:P9" si="3">J5/K5*3</f>
        <v>375</v>
      </c>
      <c r="Q5" s="322" t="s">
        <v>2038</v>
      </c>
      <c r="R5" s="214" t="s">
        <v>104</v>
      </c>
      <c r="S5" s="211" t="s">
        <v>350</v>
      </c>
      <c r="T5" s="211" t="s">
        <v>84</v>
      </c>
      <c r="U5" s="48"/>
      <c r="V5" s="305" t="s">
        <v>350</v>
      </c>
      <c r="W5" s="305" t="s">
        <v>363</v>
      </c>
      <c r="X5" s="48" t="s">
        <v>2294</v>
      </c>
      <c r="Y5" s="212">
        <v>46057</v>
      </c>
      <c r="Z5" s="176">
        <v>46057</v>
      </c>
      <c r="AA5" s="308"/>
      <c r="AB5" s="176">
        <v>46059</v>
      </c>
      <c r="AC5" s="177" t="s">
        <v>368</v>
      </c>
      <c r="AD5" s="159" t="s">
        <v>3885</v>
      </c>
    </row>
    <row r="6" s="3" customFormat="1" ht="33.75" hidden="1" customHeight="1" spans="1:31">
      <c r="A6" s="208">
        <f t="shared" si="0"/>
        <v>3</v>
      </c>
      <c r="B6" s="48" t="s">
        <v>152</v>
      </c>
      <c r="C6" s="49" t="s">
        <v>135</v>
      </c>
      <c r="D6" s="50" t="s">
        <v>3886</v>
      </c>
      <c r="E6" s="50" t="s">
        <v>3887</v>
      </c>
      <c r="F6" s="52">
        <v>45996</v>
      </c>
      <c r="G6" s="52">
        <v>46086</v>
      </c>
      <c r="H6" s="52">
        <v>46086</v>
      </c>
      <c r="I6" s="53">
        <v>46006</v>
      </c>
      <c r="J6" s="327">
        <v>24012</v>
      </c>
      <c r="K6" s="175">
        <v>18</v>
      </c>
      <c r="L6" s="175">
        <f t="shared" si="1"/>
        <v>5336</v>
      </c>
      <c r="M6" s="175">
        <f>J6/K6*3</f>
        <v>4002</v>
      </c>
      <c r="N6" s="175">
        <f>J6/K6*5</f>
        <v>6670</v>
      </c>
      <c r="O6" s="175">
        <f t="shared" si="2"/>
        <v>4002</v>
      </c>
      <c r="P6" s="175">
        <f t="shared" si="3"/>
        <v>4002</v>
      </c>
      <c r="Q6" s="48" t="s">
        <v>719</v>
      </c>
      <c r="R6" s="49" t="s">
        <v>81</v>
      </c>
      <c r="S6" s="211" t="s">
        <v>350</v>
      </c>
      <c r="T6" s="211" t="s">
        <v>84</v>
      </c>
      <c r="U6" s="48" t="s">
        <v>2098</v>
      </c>
      <c r="V6" s="305" t="s">
        <v>350</v>
      </c>
      <c r="W6" s="305" t="s">
        <v>719</v>
      </c>
      <c r="X6" s="48" t="s">
        <v>3888</v>
      </c>
      <c r="Y6" s="176">
        <v>46083</v>
      </c>
      <c r="Z6" s="176">
        <v>46084</v>
      </c>
      <c r="AA6" s="308"/>
      <c r="AB6" s="176">
        <v>46090</v>
      </c>
      <c r="AC6" s="177">
        <v>36137</v>
      </c>
      <c r="AD6" s="159" t="s">
        <v>3889</v>
      </c>
    </row>
    <row r="7" s="3" customFormat="1" ht="33.75" hidden="1" customHeight="1" spans="1:31">
      <c r="A7" s="208">
        <f t="shared" si="0"/>
        <v>4</v>
      </c>
      <c r="B7" s="48" t="s">
        <v>1347</v>
      </c>
      <c r="C7" s="49" t="s">
        <v>741</v>
      </c>
      <c r="D7" s="50" t="s">
        <v>2119</v>
      </c>
      <c r="E7" s="50" t="s">
        <v>2120</v>
      </c>
      <c r="F7" s="52">
        <v>45988</v>
      </c>
      <c r="G7" s="52">
        <v>46137</v>
      </c>
      <c r="H7" s="52">
        <v>46137</v>
      </c>
      <c r="I7" s="53">
        <v>46057</v>
      </c>
      <c r="J7" s="327">
        <v>6012</v>
      </c>
      <c r="K7" s="175">
        <v>18</v>
      </c>
      <c r="L7" s="175">
        <f t="shared" si="1"/>
        <v>1336</v>
      </c>
      <c r="M7" s="175">
        <f>J7/K7*4</f>
        <v>1336</v>
      </c>
      <c r="N7" s="175">
        <f>J7/K7*4</f>
        <v>1336</v>
      </c>
      <c r="O7" s="175">
        <f t="shared" si="2"/>
        <v>1002</v>
      </c>
      <c r="P7" s="175">
        <f t="shared" si="3"/>
        <v>1002</v>
      </c>
      <c r="Q7" s="48" t="s">
        <v>719</v>
      </c>
      <c r="R7" s="49" t="s">
        <v>81</v>
      </c>
      <c r="S7" s="211" t="s">
        <v>350</v>
      </c>
      <c r="T7" s="211" t="s">
        <v>84</v>
      </c>
      <c r="U7" s="48" t="s">
        <v>2098</v>
      </c>
      <c r="V7" s="305" t="s">
        <v>444</v>
      </c>
      <c r="W7" s="305" t="s">
        <v>2096</v>
      </c>
      <c r="X7" s="48" t="s">
        <v>2121</v>
      </c>
      <c r="Y7" s="176">
        <v>46137</v>
      </c>
      <c r="Z7" s="211">
        <v>46129</v>
      </c>
      <c r="AA7" s="308"/>
      <c r="AB7" s="176">
        <v>46188</v>
      </c>
      <c r="AC7" s="177" t="s">
        <v>2122</v>
      </c>
      <c r="AD7" s="159" t="s">
        <v>3890</v>
      </c>
    </row>
    <row r="8" s="3" customFormat="1" ht="33.75" hidden="1" customHeight="1" spans="1:31">
      <c r="A8" s="208">
        <f t="shared" si="0"/>
        <v>5</v>
      </c>
      <c r="B8" s="48" t="s">
        <v>3162</v>
      </c>
      <c r="C8" s="49" t="s">
        <v>360</v>
      </c>
      <c r="D8" s="50" t="s">
        <v>3834</v>
      </c>
      <c r="E8" s="50" t="s">
        <v>3835</v>
      </c>
      <c r="F8" s="52">
        <v>46114</v>
      </c>
      <c r="G8" s="52">
        <v>46165</v>
      </c>
      <c r="H8" s="52">
        <v>46165</v>
      </c>
      <c r="I8" s="53">
        <v>46136</v>
      </c>
      <c r="J8" s="327">
        <v>1206</v>
      </c>
      <c r="K8" s="175">
        <v>18</v>
      </c>
      <c r="L8" s="175">
        <f t="shared" si="1"/>
        <v>268</v>
      </c>
      <c r="M8" s="175">
        <f>J8/K8*4</f>
        <v>268</v>
      </c>
      <c r="N8" s="175">
        <f>J8/K8*4</f>
        <v>268</v>
      </c>
      <c r="O8" s="175">
        <f t="shared" si="2"/>
        <v>201</v>
      </c>
      <c r="P8" s="175">
        <f t="shared" si="3"/>
        <v>201</v>
      </c>
      <c r="Q8" s="48" t="s">
        <v>499</v>
      </c>
      <c r="R8" s="49" t="s">
        <v>104</v>
      </c>
      <c r="S8" s="211" t="s">
        <v>501</v>
      </c>
      <c r="T8" s="211" t="s">
        <v>84</v>
      </c>
      <c r="U8" s="48" t="s">
        <v>1744</v>
      </c>
      <c r="V8" s="305" t="s">
        <v>1072</v>
      </c>
      <c r="W8" s="305" t="s">
        <v>499</v>
      </c>
      <c r="X8" s="48" t="s">
        <v>3836</v>
      </c>
      <c r="Y8" s="176">
        <v>46165</v>
      </c>
      <c r="Z8" s="211">
        <v>46164</v>
      </c>
      <c r="AA8" s="211"/>
      <c r="AB8" s="176">
        <v>46171</v>
      </c>
      <c r="AC8" s="177" t="s">
        <v>3837</v>
      </c>
      <c r="AD8" s="159" t="s">
        <v>3885</v>
      </c>
    </row>
    <row r="9" s="3" customFormat="1" ht="33.75" hidden="1" customHeight="1" spans="1:31">
      <c r="A9" s="208">
        <f t="shared" si="0"/>
        <v>6</v>
      </c>
      <c r="B9" s="48" t="s">
        <v>3162</v>
      </c>
      <c r="C9" s="49" t="s">
        <v>360</v>
      </c>
      <c r="D9" s="50" t="s">
        <v>3838</v>
      </c>
      <c r="E9" s="50" t="s">
        <v>3839</v>
      </c>
      <c r="F9" s="52">
        <v>46114</v>
      </c>
      <c r="G9" s="52">
        <v>46185</v>
      </c>
      <c r="H9" s="52">
        <v>46185</v>
      </c>
      <c r="I9" s="53">
        <v>46136</v>
      </c>
      <c r="J9" s="327">
        <v>900</v>
      </c>
      <c r="K9" s="175">
        <v>18</v>
      </c>
      <c r="L9" s="175">
        <f t="shared" si="1"/>
        <v>200</v>
      </c>
      <c r="M9" s="175">
        <f>J9/K9*4</f>
        <v>200</v>
      </c>
      <c r="N9" s="175">
        <f>J9/K9*4</f>
        <v>200</v>
      </c>
      <c r="O9" s="175">
        <f t="shared" si="2"/>
        <v>150</v>
      </c>
      <c r="P9" s="175">
        <f t="shared" si="3"/>
        <v>150</v>
      </c>
      <c r="Q9" s="48" t="s">
        <v>499</v>
      </c>
      <c r="R9" s="49" t="s">
        <v>104</v>
      </c>
      <c r="S9" s="211" t="s">
        <v>501</v>
      </c>
      <c r="T9" s="211" t="s">
        <v>84</v>
      </c>
      <c r="U9" s="48" t="s">
        <v>1744</v>
      </c>
      <c r="V9" s="305" t="s">
        <v>1072</v>
      </c>
      <c r="W9" s="305" t="s">
        <v>499</v>
      </c>
      <c r="X9" s="48" t="s">
        <v>3836</v>
      </c>
      <c r="Y9" s="176">
        <v>46185</v>
      </c>
      <c r="Z9" s="211">
        <v>46185</v>
      </c>
      <c r="AA9" s="308"/>
      <c r="AB9" s="176">
        <v>46195</v>
      </c>
      <c r="AC9" s="177" t="s">
        <v>3840</v>
      </c>
      <c r="AD9" s="159" t="s">
        <v>3885</v>
      </c>
    </row>
    <row r="10" s="3" customFormat="1" ht="27" hidden="1" customHeight="1" spans="1:31">
      <c r="A10" s="208">
        <f t="shared" si="0"/>
        <v>7</v>
      </c>
      <c r="B10" s="48" t="s">
        <v>2158</v>
      </c>
      <c r="C10" s="49" t="s">
        <v>1882</v>
      </c>
      <c r="D10" s="50" t="s">
        <v>2159</v>
      </c>
      <c r="E10" s="50" t="s">
        <v>2160</v>
      </c>
      <c r="F10" s="52">
        <v>46125</v>
      </c>
      <c r="G10" s="52">
        <v>46185</v>
      </c>
      <c r="H10" s="52">
        <v>46185</v>
      </c>
      <c r="I10" s="53">
        <v>46154</v>
      </c>
      <c r="J10" s="175">
        <f>SUBTOTAL(9,L10:P10)</f>
        <v>0</v>
      </c>
      <c r="K10" s="175">
        <v>18</v>
      </c>
      <c r="L10" s="175">
        <v>1524</v>
      </c>
      <c r="M10" s="175">
        <v>1524</v>
      </c>
      <c r="N10" s="175">
        <v>1524</v>
      </c>
      <c r="O10" s="175">
        <v>1143</v>
      </c>
      <c r="P10" s="175">
        <v>1143</v>
      </c>
      <c r="Q10" s="49" t="s">
        <v>2147</v>
      </c>
      <c r="R10" s="49" t="s">
        <v>81</v>
      </c>
      <c r="S10" s="211" t="s">
        <v>1393</v>
      </c>
      <c r="T10" s="211" t="s">
        <v>84</v>
      </c>
      <c r="U10" s="48" t="s">
        <v>1744</v>
      </c>
      <c r="V10" s="48" t="s">
        <v>155</v>
      </c>
      <c r="W10" s="48" t="s">
        <v>2147</v>
      </c>
      <c r="X10" s="48" t="s">
        <v>3891</v>
      </c>
      <c r="Y10" s="176">
        <v>46185</v>
      </c>
      <c r="Z10" s="176">
        <v>46189</v>
      </c>
      <c r="AA10" s="176"/>
      <c r="AB10" s="176">
        <v>46196</v>
      </c>
      <c r="AC10" s="177" t="s">
        <v>2162</v>
      </c>
      <c r="AD10" s="159" t="s">
        <v>3890</v>
      </c>
    </row>
    <row r="11" s="3" customFormat="1" ht="27" hidden="1" customHeight="1" spans="1:31">
      <c r="A11" s="208">
        <f t="shared" si="0"/>
        <v>8</v>
      </c>
      <c r="B11" s="48" t="s">
        <v>2158</v>
      </c>
      <c r="C11" s="49" t="s">
        <v>1882</v>
      </c>
      <c r="D11" s="50" t="s">
        <v>2164</v>
      </c>
      <c r="E11" s="50" t="s">
        <v>2165</v>
      </c>
      <c r="F11" s="52">
        <v>46125</v>
      </c>
      <c r="G11" s="52">
        <v>46185</v>
      </c>
      <c r="H11" s="52">
        <v>46185</v>
      </c>
      <c r="I11" s="53">
        <v>46154</v>
      </c>
      <c r="J11" s="175">
        <f>SUBTOTAL(9,L11:P11)</f>
        <v>0</v>
      </c>
      <c r="K11" s="175">
        <v>18</v>
      </c>
      <c r="L11" s="49">
        <v>1304</v>
      </c>
      <c r="M11" s="49">
        <v>1304</v>
      </c>
      <c r="N11" s="49">
        <v>1304</v>
      </c>
      <c r="O11" s="49">
        <v>978</v>
      </c>
      <c r="P11" s="49">
        <v>978</v>
      </c>
      <c r="Q11" s="49" t="s">
        <v>2147</v>
      </c>
      <c r="R11" s="49" t="s">
        <v>81</v>
      </c>
      <c r="S11" s="211" t="s">
        <v>1393</v>
      </c>
      <c r="T11" s="211" t="s">
        <v>84</v>
      </c>
      <c r="U11" s="48" t="s">
        <v>1744</v>
      </c>
      <c r="V11" s="48" t="s">
        <v>155</v>
      </c>
      <c r="W11" s="48" t="s">
        <v>2147</v>
      </c>
      <c r="X11" s="48" t="s">
        <v>3891</v>
      </c>
      <c r="Y11" s="176">
        <v>46185</v>
      </c>
      <c r="Z11" s="176">
        <v>46189</v>
      </c>
      <c r="AA11" s="176"/>
      <c r="AB11" s="176">
        <v>46196</v>
      </c>
      <c r="AC11" s="177" t="s">
        <v>2166</v>
      </c>
      <c r="AD11" s="159" t="s">
        <v>3890</v>
      </c>
    </row>
    <row r="12" s="3" customFormat="1" ht="27" hidden="1" customHeight="1" spans="1:31">
      <c r="A12" s="208">
        <f t="shared" si="0"/>
        <v>9</v>
      </c>
      <c r="B12" s="48" t="s">
        <v>3892</v>
      </c>
      <c r="C12" s="49" t="s">
        <v>1882</v>
      </c>
      <c r="D12" s="50" t="s">
        <v>2416</v>
      </c>
      <c r="E12" s="50" t="s">
        <v>2417</v>
      </c>
      <c r="F12" s="52">
        <v>46133</v>
      </c>
      <c r="G12" s="52">
        <v>46198</v>
      </c>
      <c r="H12" s="52">
        <v>46198</v>
      </c>
      <c r="I12" s="53">
        <v>46154</v>
      </c>
      <c r="J12" s="175">
        <f>SUM(L12:P12)</f>
        <v>7506</v>
      </c>
      <c r="K12" s="175">
        <v>18</v>
      </c>
      <c r="L12" s="175">
        <v>1668</v>
      </c>
      <c r="M12" s="175">
        <v>1668</v>
      </c>
      <c r="N12" s="175">
        <v>1668</v>
      </c>
      <c r="O12" s="175">
        <v>1251</v>
      </c>
      <c r="P12" s="175">
        <v>1251</v>
      </c>
      <c r="Q12" s="49" t="s">
        <v>2147</v>
      </c>
      <c r="R12" s="49" t="s">
        <v>81</v>
      </c>
      <c r="S12" s="211" t="s">
        <v>1393</v>
      </c>
      <c r="T12" s="211" t="s">
        <v>84</v>
      </c>
      <c r="U12" s="48" t="s">
        <v>1876</v>
      </c>
      <c r="V12" s="48" t="s">
        <v>155</v>
      </c>
      <c r="W12" s="48" t="s">
        <v>2147</v>
      </c>
      <c r="X12" s="48" t="s">
        <v>2418</v>
      </c>
      <c r="Y12" s="176">
        <v>46198</v>
      </c>
      <c r="Z12" s="176">
        <v>46197</v>
      </c>
      <c r="AA12" s="176"/>
      <c r="AB12" s="176">
        <v>46220</v>
      </c>
      <c r="AC12" s="177"/>
      <c r="AD12" s="159" t="s">
        <v>3890</v>
      </c>
    </row>
    <row r="13" s="3" customFormat="1" ht="33.75" hidden="1" customHeight="1" spans="1:31">
      <c r="A13" s="208">
        <f t="shared" si="0"/>
        <v>10</v>
      </c>
      <c r="B13" s="48" t="s">
        <v>3162</v>
      </c>
      <c r="C13" s="49" t="s">
        <v>360</v>
      </c>
      <c r="D13" s="50" t="s">
        <v>3845</v>
      </c>
      <c r="E13" s="50" t="s">
        <v>3846</v>
      </c>
      <c r="F13" s="52">
        <v>46114</v>
      </c>
      <c r="G13" s="52">
        <v>46223</v>
      </c>
      <c r="H13" s="52">
        <v>46223</v>
      </c>
      <c r="I13" s="53">
        <v>46136</v>
      </c>
      <c r="J13" s="327">
        <v>900</v>
      </c>
      <c r="K13" s="175">
        <v>18</v>
      </c>
      <c r="L13" s="175">
        <f>J13/K13*4</f>
        <v>200</v>
      </c>
      <c r="M13" s="175">
        <f>J13/K13*4</f>
        <v>200</v>
      </c>
      <c r="N13" s="175">
        <f>J13/K13*4</f>
        <v>200</v>
      </c>
      <c r="O13" s="175">
        <f>J13/K13*3</f>
        <v>150</v>
      </c>
      <c r="P13" s="175">
        <f>J13/K13*3</f>
        <v>150</v>
      </c>
      <c r="Q13" s="48" t="s">
        <v>3847</v>
      </c>
      <c r="R13" s="49" t="s">
        <v>104</v>
      </c>
      <c r="S13" s="211" t="s">
        <v>168</v>
      </c>
      <c r="T13" s="211" t="s">
        <v>84</v>
      </c>
      <c r="U13" s="48" t="s">
        <v>1744</v>
      </c>
      <c r="V13" s="305" t="s">
        <v>1876</v>
      </c>
      <c r="W13" s="305" t="s">
        <v>3847</v>
      </c>
      <c r="X13" s="48" t="s">
        <v>3836</v>
      </c>
      <c r="Y13" s="176">
        <v>46223</v>
      </c>
      <c r="Z13" s="211">
        <v>46205</v>
      </c>
      <c r="AA13" s="308"/>
      <c r="AB13" s="176">
        <v>46231</v>
      </c>
      <c r="AC13" s="177" t="s">
        <v>3849</v>
      </c>
      <c r="AD13" s="159" t="s">
        <v>3885</v>
      </c>
    </row>
    <row r="14" s="3" customFormat="1" ht="33" customHeight="1" spans="1:31">
      <c r="A14" s="215">
        <f t="shared" si="0"/>
        <v>11</v>
      </c>
      <c r="B14" s="183" t="s">
        <v>152</v>
      </c>
      <c r="C14" s="96" t="s">
        <v>135</v>
      </c>
      <c r="D14" s="216" t="s">
        <v>3893</v>
      </c>
      <c r="E14" s="216" t="s">
        <v>3894</v>
      </c>
      <c r="F14" s="217">
        <v>46210</v>
      </c>
      <c r="G14" s="217">
        <v>46255</v>
      </c>
      <c r="H14" s="217">
        <v>46290</v>
      </c>
      <c r="I14" s="218">
        <v>46232</v>
      </c>
      <c r="J14" s="294">
        <v>28800</v>
      </c>
      <c r="K14" s="95">
        <v>18</v>
      </c>
      <c r="L14" s="277">
        <f>J14/K14*4</f>
        <v>6400</v>
      </c>
      <c r="M14" s="277">
        <f>J14/K14*3</f>
        <v>4800</v>
      </c>
      <c r="N14" s="277">
        <f>J14/K14*5</f>
        <v>8000</v>
      </c>
      <c r="O14" s="277">
        <f>J14/K14*3</f>
        <v>4800</v>
      </c>
      <c r="P14" s="277">
        <f>J14/K14*3</f>
        <v>4800</v>
      </c>
      <c r="Q14" s="219" t="s">
        <v>1444</v>
      </c>
      <c r="R14" s="96" t="s">
        <v>81</v>
      </c>
      <c r="S14" s="279" t="s">
        <v>1660</v>
      </c>
      <c r="T14" s="279" t="s">
        <v>84</v>
      </c>
      <c r="U14" s="183" t="s">
        <v>1903</v>
      </c>
      <c r="V14" s="183" t="s">
        <v>2457</v>
      </c>
      <c r="W14" s="183" t="s">
        <v>1444</v>
      </c>
      <c r="X14" s="183" t="s">
        <v>3888</v>
      </c>
      <c r="Y14" s="280">
        <v>46290</v>
      </c>
      <c r="Z14" s="310">
        <v>46290</v>
      </c>
      <c r="AA14" s="97"/>
      <c r="AB14" s="97"/>
      <c r="AC14" s="178">
        <v>37098</v>
      </c>
      <c r="AD14" s="159" t="s">
        <v>3889</v>
      </c>
    </row>
    <row r="15" s="3" customFormat="1" ht="27" customHeight="1" spans="1:31">
      <c r="A15" s="215">
        <f t="shared" si="0"/>
        <v>12</v>
      </c>
      <c r="B15" s="183"/>
      <c r="C15" s="96"/>
      <c r="D15" s="216"/>
      <c r="E15" s="216"/>
      <c r="F15" s="217"/>
      <c r="G15" s="217"/>
      <c r="H15" s="217"/>
      <c r="I15" s="218"/>
      <c r="J15" s="95"/>
      <c r="K15" s="95"/>
      <c r="L15" s="277"/>
      <c r="M15" s="326"/>
      <c r="N15" s="326"/>
      <c r="O15" s="277"/>
      <c r="P15" s="277"/>
      <c r="Q15" s="219"/>
      <c r="R15" s="96"/>
      <c r="S15" s="279"/>
      <c r="T15" s="279"/>
      <c r="U15" s="183"/>
      <c r="V15" s="183"/>
      <c r="W15" s="183"/>
      <c r="X15" s="183"/>
      <c r="Y15" s="280"/>
      <c r="Z15" s="310"/>
      <c r="AA15" s="97"/>
      <c r="AB15" s="97"/>
      <c r="AC15" s="178"/>
      <c r="AD15" s="159"/>
    </row>
    <row r="16" s="3" customFormat="1" ht="27" customHeight="1" spans="1:31">
      <c r="A16" s="215"/>
      <c r="B16" s="183"/>
      <c r="C16" s="96"/>
      <c r="D16" s="216"/>
      <c r="E16" s="216"/>
      <c r="F16" s="217"/>
      <c r="G16" s="217"/>
      <c r="H16" s="217"/>
      <c r="I16" s="218"/>
      <c r="J16" s="95"/>
      <c r="K16" s="95"/>
      <c r="L16" s="277"/>
      <c r="M16" s="326"/>
      <c r="N16" s="326"/>
      <c r="O16" s="277"/>
      <c r="P16" s="277"/>
      <c r="Q16" s="219"/>
      <c r="R16" s="96"/>
      <c r="S16" s="279"/>
      <c r="T16" s="279"/>
      <c r="U16" s="183"/>
      <c r="V16" s="183"/>
      <c r="W16" s="183"/>
      <c r="X16" s="183"/>
      <c r="Y16" s="280"/>
      <c r="Z16" s="310"/>
      <c r="AA16" s="97"/>
      <c r="AB16" s="97"/>
      <c r="AC16" s="178"/>
      <c r="AD16" s="159"/>
    </row>
    <row r="17" s="3" customFormat="1" ht="17.1" customHeight="1" spans="1:30">
      <c r="A17" s="93" t="s">
        <v>66</v>
      </c>
      <c r="B17" s="94"/>
      <c r="C17" s="94"/>
      <c r="D17" s="94"/>
      <c r="E17" s="94"/>
      <c r="F17" s="94"/>
      <c r="G17" s="94"/>
      <c r="H17" s="94"/>
      <c r="I17" s="94"/>
      <c r="J17" s="95">
        <f>SUM(J4:J10)</f>
        <v>58380</v>
      </c>
      <c r="K17" s="95"/>
      <c r="L17" s="95">
        <f>SUM(L4:L16)</f>
        <v>23236</v>
      </c>
      <c r="M17" s="95">
        <f>SUM(M4:M16)</f>
        <v>20302</v>
      </c>
      <c r="N17" s="95">
        <f>SUM(N4:N16)</f>
        <v>27670</v>
      </c>
      <c r="O17" s="95">
        <f>SUM(O4:O16)</f>
        <v>18552</v>
      </c>
      <c r="P17" s="95">
        <f>SUM(P4:P16)</f>
        <v>18552</v>
      </c>
      <c r="Q17" s="95"/>
      <c r="R17" s="96"/>
      <c r="S17" s="96"/>
      <c r="T17" s="96"/>
      <c r="U17" s="96"/>
      <c r="V17" s="96"/>
      <c r="W17" s="96"/>
      <c r="X17" s="96"/>
      <c r="Y17" s="97"/>
      <c r="Z17" s="97"/>
      <c r="AA17" s="97"/>
      <c r="AB17" s="97"/>
      <c r="AC17" s="98"/>
      <c r="AD17" s="159"/>
    </row>
    <row r="18" s="4" customFormat="1" ht="17.1" customHeight="1" spans="1:30">
      <c r="A18" s="99"/>
      <c r="B18" s="100"/>
      <c r="C18" s="100"/>
      <c r="D18" s="100"/>
      <c r="E18" s="100"/>
      <c r="F18" s="100"/>
      <c r="G18" s="100"/>
      <c r="H18" s="100"/>
      <c r="I18" s="100"/>
      <c r="J18" s="133">
        <f>SUM(L18:P18)</f>
        <v>108312</v>
      </c>
      <c r="K18" s="100"/>
      <c r="L18" s="147">
        <f>11672+3496+1668+6400</f>
        <v>23236</v>
      </c>
      <c r="M18" s="147">
        <f>10338+3496+1668+4800</f>
        <v>20302</v>
      </c>
      <c r="N18" s="147">
        <f>14506+3496+1668+8000</f>
        <v>27670</v>
      </c>
      <c r="O18" s="147">
        <f>9879+2622+1251+4800</f>
        <v>18552</v>
      </c>
      <c r="P18" s="147">
        <f>9879+2622+1251+4800</f>
        <v>18552</v>
      </c>
      <c r="Q18" s="147"/>
      <c r="R18" s="100"/>
      <c r="S18" s="100"/>
      <c r="T18" s="100"/>
      <c r="U18" s="100"/>
      <c r="V18" s="100"/>
      <c r="W18" s="100"/>
      <c r="X18" s="100"/>
      <c r="Y18" s="100"/>
      <c r="Z18" s="101"/>
      <c r="AA18" s="101"/>
      <c r="AB18" s="101"/>
      <c r="AC18" s="102"/>
      <c r="AD18" s="295"/>
    </row>
    <row r="19" s="4" customFormat="1" ht="17.1" customHeight="1" spans="1:30">
      <c r="A19" s="241" t="s">
        <v>67</v>
      </c>
      <c r="B19" s="242"/>
      <c r="C19" s="242"/>
      <c r="D19" s="242"/>
      <c r="E19" s="242"/>
      <c r="F19" s="242"/>
      <c r="G19" s="242"/>
      <c r="H19" s="242"/>
      <c r="I19" s="243"/>
      <c r="J19" s="244">
        <f>SUM(L19:P19)</f>
        <v>0</v>
      </c>
      <c r="K19" s="245"/>
      <c r="L19" s="106">
        <f>L18-L17</f>
        <v>0</v>
      </c>
      <c r="M19" s="106">
        <f>M18-M17</f>
        <v>0</v>
      </c>
      <c r="N19" s="106">
        <f>N18-N17</f>
        <v>0</v>
      </c>
      <c r="O19" s="106">
        <f>O18-O17</f>
        <v>0</v>
      </c>
      <c r="P19" s="106">
        <f>P18-P17</f>
        <v>0</v>
      </c>
      <c r="Q19" s="106"/>
      <c r="R19" s="106"/>
      <c r="S19" s="106"/>
      <c r="T19" s="106"/>
      <c r="U19" s="106"/>
      <c r="V19" s="106"/>
      <c r="W19" s="106"/>
      <c r="X19" s="106"/>
      <c r="Y19" s="107"/>
      <c r="Z19" s="108"/>
      <c r="AA19" s="108"/>
      <c r="AB19" s="108"/>
      <c r="AC19" s="109"/>
      <c r="AD19" s="295"/>
    </row>
    <row r="20" spans="1:30">
      <c r="B20" s="110" t="s">
        <v>68</v>
      </c>
      <c r="C20" s="110"/>
      <c r="D20" s="111"/>
      <c r="E20" s="111"/>
      <c r="F20" s="111"/>
      <c r="G20" s="111"/>
      <c r="H20" s="111"/>
      <c r="I20" s="111"/>
    </row>
    <row r="24" spans="1:30">
      <c r="B24" s="286" t="s">
        <v>3895</v>
      </c>
      <c r="I24" s="193"/>
      <c r="J24" s="193"/>
      <c r="K24" s="193"/>
    </row>
    <row r="25" spans="1:30">
      <c r="B25" s="286" t="s">
        <v>3896</v>
      </c>
      <c r="I25" s="193"/>
      <c r="J25" s="193"/>
      <c r="K25" s="193"/>
    </row>
    <row r="26" spans="1:30">
      <c r="B26" s="193" t="s">
        <v>3897</v>
      </c>
      <c r="C26" s="193"/>
      <c r="D26" s="193"/>
      <c r="E26" s="193"/>
      <c r="F26" t="s">
        <v>374</v>
      </c>
    </row>
    <row r="27" spans="1:30">
      <c r="B27" s="193" t="s">
        <v>3898</v>
      </c>
      <c r="C27" s="193"/>
      <c r="D27" s="193"/>
      <c r="E27" s="193"/>
      <c r="F27" t="s">
        <v>374</v>
      </c>
      <c r="G27">
        <f>1985-56-223-134</f>
        <v>1572</v>
      </c>
    </row>
  </sheetData>
  <autoFilter xmlns:etc="http://www.wps.cn/officeDocument/2017/etCustomData" ref="A3:AE15" etc:filterBottomFollowUsedRange="0">
    <filterColumn colId="27">
      <filters blank="1"/>
    </filterColumn>
    <extLst/>
  </autoFilter>
  <mergeCells count="35">
    <mergeCell ref="A1:X1"/>
    <mergeCell ref="Z1:AA1"/>
    <mergeCell ref="AB1:AC1"/>
    <mergeCell ref="L2:P2"/>
    <mergeCell ref="A17:I17"/>
    <mergeCell ref="A18:I18"/>
    <mergeCell ref="A19:I19"/>
    <mergeCell ref="I24:K24"/>
    <mergeCell ref="I25:K25"/>
    <mergeCell ref="B26:D26"/>
    <mergeCell ref="B27:D2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</mergeCells>
  <conditionalFormatting sqref="L19:X19">
    <cfRule type="cellIs" dxfId="0" priority="1" operator="lessThan">
      <formula>0</formula>
    </cfRule>
  </conditionalFormatting>
  <printOptions horizontalCentered="1"/>
  <pageMargins left="0.196527777777778" right="0.196527777777778" top="0.354166666666667" bottom="0.354166666666667" header="0.313888888888889" footer="0.313888888888889"/>
  <pageSetup paperSize="9" scale="60" orientation="landscape"/>
  <headerFooter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99FF"/>
    <pageSetUpPr fitToPage="1"/>
  </sheetPr>
  <dimension ref="A1:AE21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N18" sqref="N18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1" customWidth="1"/>
    <col min="6" max="9" width="5.375" customWidth="1"/>
    <col min="10" max="10" width="7.125" customWidth="1"/>
    <col min="11" max="11" width="5.125" customWidth="1"/>
    <col min="12" max="16" width="6.625" customWidth="1"/>
    <col min="17" max="17" width="8.625" customWidth="1"/>
    <col min="18" max="18" width="4.875" customWidth="1"/>
    <col min="19" max="20" width="6" customWidth="1"/>
    <col min="21" max="21" width="5.125" customWidth="1"/>
    <col min="22" max="22" width="6.125" customWidth="1"/>
    <col min="23" max="23" width="8.625" customWidth="1"/>
    <col min="24" max="24" width="20.375" customWidth="1"/>
    <col min="25" max="25" width="8.875" customWidth="1"/>
    <col min="26" max="26" width="9.875" style="113" customWidth="1"/>
    <col min="27" max="27" width="8.625" style="113" customWidth="1"/>
    <col min="28" max="28" width="7.375" style="113" customWidth="1"/>
    <col min="29" max="29" width="16.625" customWidth="1"/>
    <col min="30" max="30" width="16.625" style="288" customWidth="1"/>
    <col min="31" max="31" width="13.125" customWidth="1"/>
  </cols>
  <sheetData>
    <row r="1" ht="35.1" customHeight="1" spans="1:31">
      <c r="A1" s="298" t="s">
        <v>3899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300"/>
      <c r="Z1" s="259" t="s">
        <v>1</v>
      </c>
      <c r="AA1" s="260"/>
      <c r="AB1" s="200">
        <f ca="1">TODAY()</f>
        <v>46277</v>
      </c>
      <c r="AC1" s="201"/>
      <c r="AD1" s="301"/>
    </row>
    <row r="2" s="190" customFormat="1" ht="21.95" customHeight="1" spans="1:31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7" t="s">
        <v>13</v>
      </c>
      <c r="M2" s="188"/>
      <c r="N2" s="188"/>
      <c r="O2" s="188"/>
      <c r="P2" s="189"/>
      <c r="Q2" s="19" t="s">
        <v>14</v>
      </c>
      <c r="R2" s="21" t="s">
        <v>15</v>
      </c>
      <c r="S2" s="21" t="s">
        <v>3804</v>
      </c>
      <c r="T2" s="22" t="s">
        <v>178</v>
      </c>
      <c r="U2" s="22" t="s">
        <v>18</v>
      </c>
      <c r="V2" s="21" t="s">
        <v>19</v>
      </c>
      <c r="W2" s="22" t="s">
        <v>20</v>
      </c>
      <c r="X2" s="24" t="s">
        <v>21</v>
      </c>
      <c r="Y2" s="19" t="s">
        <v>22</v>
      </c>
      <c r="Z2" s="302" t="s">
        <v>23</v>
      </c>
      <c r="AA2" s="26" t="s">
        <v>24</v>
      </c>
      <c r="AB2" s="26" t="s">
        <v>25</v>
      </c>
      <c r="AC2" s="27" t="s">
        <v>26</v>
      </c>
      <c r="AD2" s="190" t="s">
        <v>65</v>
      </c>
      <c r="AE2" s="190" t="s">
        <v>3880</v>
      </c>
    </row>
    <row r="3" s="190" customFormat="1" ht="24.95" hidden="1" customHeight="1" spans="1:31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4" t="s">
        <v>2568</v>
      </c>
      <c r="M3" s="292" t="s">
        <v>2569</v>
      </c>
      <c r="N3" s="292" t="s">
        <v>2570</v>
      </c>
      <c r="O3" s="264" t="s">
        <v>1984</v>
      </c>
      <c r="P3" s="292" t="s">
        <v>1983</v>
      </c>
      <c r="Q3" s="19"/>
      <c r="R3" s="21"/>
      <c r="S3" s="21"/>
      <c r="T3" s="32"/>
      <c r="U3" s="32"/>
      <c r="V3" s="21"/>
      <c r="W3" s="32"/>
      <c r="X3" s="24"/>
      <c r="Y3" s="19"/>
      <c r="Z3" s="303"/>
      <c r="AA3" s="26"/>
      <c r="AB3" s="26"/>
      <c r="AC3" s="27"/>
    </row>
    <row r="4" s="3" customFormat="1" ht="33.75" hidden="1" customHeight="1" spans="1:31">
      <c r="A4" s="208">
        <f t="shared" ref="A4:A9" si="0">ROW()-3</f>
        <v>1</v>
      </c>
      <c r="B4" s="48" t="s">
        <v>359</v>
      </c>
      <c r="C4" s="49" t="s">
        <v>360</v>
      </c>
      <c r="D4" s="50" t="s">
        <v>361</v>
      </c>
      <c r="E4" s="50" t="s">
        <v>3884</v>
      </c>
      <c r="F4" s="52">
        <v>45993</v>
      </c>
      <c r="G4" s="52">
        <v>46059</v>
      </c>
      <c r="H4" s="52">
        <v>46059</v>
      </c>
      <c r="I4" s="53">
        <v>45993</v>
      </c>
      <c r="J4" s="175">
        <v>2250</v>
      </c>
      <c r="K4" s="175">
        <v>18</v>
      </c>
      <c r="L4" s="175">
        <f>J4/K4*4</f>
        <v>500</v>
      </c>
      <c r="M4" s="175">
        <f>J4/K4*4</f>
        <v>500</v>
      </c>
      <c r="N4" s="175">
        <f>J4/K4*4</f>
        <v>500</v>
      </c>
      <c r="O4" s="175">
        <f>J4/K4*3</f>
        <v>375</v>
      </c>
      <c r="P4" s="175">
        <f>J4/K4*3</f>
        <v>375</v>
      </c>
      <c r="Q4" s="322" t="s">
        <v>2038</v>
      </c>
      <c r="R4" s="214" t="s">
        <v>104</v>
      </c>
      <c r="S4" s="211" t="s">
        <v>350</v>
      </c>
      <c r="T4" s="211" t="s">
        <v>84</v>
      </c>
      <c r="U4" s="48" t="s">
        <v>2098</v>
      </c>
      <c r="V4" s="305" t="s">
        <v>350</v>
      </c>
      <c r="W4" s="305" t="s">
        <v>363</v>
      </c>
      <c r="X4" s="48" t="s">
        <v>2294</v>
      </c>
      <c r="Y4" s="212">
        <v>46057</v>
      </c>
      <c r="Z4" s="176">
        <v>46057</v>
      </c>
      <c r="AA4" s="308"/>
      <c r="AB4" s="176">
        <v>46059</v>
      </c>
      <c r="AC4" s="177" t="s">
        <v>368</v>
      </c>
      <c r="AD4" s="323" t="s">
        <v>3900</v>
      </c>
    </row>
    <row r="5" s="3" customFormat="1" ht="27" hidden="1" customHeight="1" spans="1:31">
      <c r="A5" s="215">
        <f t="shared" si="0"/>
        <v>2</v>
      </c>
      <c r="B5" s="48" t="s">
        <v>2158</v>
      </c>
      <c r="C5" s="49" t="s">
        <v>1882</v>
      </c>
      <c r="D5" s="50" t="s">
        <v>2159</v>
      </c>
      <c r="E5" s="50" t="s">
        <v>2160</v>
      </c>
      <c r="F5" s="52">
        <v>46125</v>
      </c>
      <c r="G5" s="52">
        <v>46185</v>
      </c>
      <c r="H5" s="52">
        <v>46185</v>
      </c>
      <c r="I5" s="53">
        <v>46154</v>
      </c>
      <c r="J5" s="175">
        <f>SUM(L5:P5)</f>
        <v>6858</v>
      </c>
      <c r="K5" s="175">
        <v>18</v>
      </c>
      <c r="L5" s="175">
        <v>1524</v>
      </c>
      <c r="M5" s="175">
        <v>1524</v>
      </c>
      <c r="N5" s="175">
        <v>1524</v>
      </c>
      <c r="O5" s="175">
        <v>1143</v>
      </c>
      <c r="P5" s="175">
        <v>1143</v>
      </c>
      <c r="Q5" s="49" t="s">
        <v>2147</v>
      </c>
      <c r="R5" s="49" t="s">
        <v>81</v>
      </c>
      <c r="S5" s="211" t="s">
        <v>1393</v>
      </c>
      <c r="T5" s="211" t="s">
        <v>84</v>
      </c>
      <c r="U5" s="48" t="s">
        <v>1744</v>
      </c>
      <c r="V5" s="48" t="s">
        <v>155</v>
      </c>
      <c r="W5" s="48" t="s">
        <v>2147</v>
      </c>
      <c r="X5" s="48" t="s">
        <v>3891</v>
      </c>
      <c r="Y5" s="176">
        <v>46185</v>
      </c>
      <c r="Z5" s="324">
        <v>46189</v>
      </c>
      <c r="AA5" s="325" t="s">
        <v>3901</v>
      </c>
      <c r="AB5" s="176">
        <v>46196</v>
      </c>
      <c r="AC5" s="177" t="s">
        <v>2162</v>
      </c>
      <c r="AD5" s="159" t="s">
        <v>3900</v>
      </c>
    </row>
    <row r="6" s="3" customFormat="1" ht="27" hidden="1" customHeight="1" spans="1:31">
      <c r="A6" s="215">
        <f t="shared" si="0"/>
        <v>3</v>
      </c>
      <c r="B6" s="48" t="s">
        <v>2158</v>
      </c>
      <c r="C6" s="49" t="s">
        <v>1882</v>
      </c>
      <c r="D6" s="50" t="s">
        <v>2164</v>
      </c>
      <c r="E6" s="50" t="s">
        <v>2165</v>
      </c>
      <c r="F6" s="52">
        <v>46125</v>
      </c>
      <c r="G6" s="52">
        <v>46185</v>
      </c>
      <c r="H6" s="52">
        <v>46185</v>
      </c>
      <c r="I6" s="53">
        <v>46154</v>
      </c>
      <c r="J6" s="175">
        <f>SUM(L6:P6)</f>
        <v>3168</v>
      </c>
      <c r="K6" s="175">
        <v>18</v>
      </c>
      <c r="L6" s="175">
        <v>704</v>
      </c>
      <c r="M6" s="175">
        <v>704</v>
      </c>
      <c r="N6" s="175">
        <v>704</v>
      </c>
      <c r="O6" s="175">
        <v>528</v>
      </c>
      <c r="P6" s="175">
        <v>528</v>
      </c>
      <c r="Q6" s="49" t="s">
        <v>2147</v>
      </c>
      <c r="R6" s="49" t="s">
        <v>81</v>
      </c>
      <c r="S6" s="211" t="s">
        <v>1393</v>
      </c>
      <c r="T6" s="211" t="s">
        <v>84</v>
      </c>
      <c r="U6" s="48" t="s">
        <v>1744</v>
      </c>
      <c r="V6" s="48" t="s">
        <v>155</v>
      </c>
      <c r="W6" s="48" t="s">
        <v>2147</v>
      </c>
      <c r="X6" s="48" t="s">
        <v>3891</v>
      </c>
      <c r="Y6" s="176">
        <v>46185</v>
      </c>
      <c r="Z6" s="324">
        <v>46189</v>
      </c>
      <c r="AA6" s="325" t="s">
        <v>3901</v>
      </c>
      <c r="AB6" s="176">
        <v>46196</v>
      </c>
      <c r="AC6" s="177" t="s">
        <v>2166</v>
      </c>
      <c r="AD6" s="159" t="s">
        <v>3900</v>
      </c>
    </row>
    <row r="7" s="3" customFormat="1" ht="27" hidden="1" customHeight="1" spans="1:31">
      <c r="A7" s="208">
        <f t="shared" si="0"/>
        <v>4</v>
      </c>
      <c r="B7" s="48" t="s">
        <v>3892</v>
      </c>
      <c r="C7" s="49" t="s">
        <v>1882</v>
      </c>
      <c r="D7" s="50" t="s">
        <v>2416</v>
      </c>
      <c r="E7" s="50" t="s">
        <v>2417</v>
      </c>
      <c r="F7" s="52">
        <v>46133</v>
      </c>
      <c r="G7" s="52">
        <v>46198</v>
      </c>
      <c r="H7" s="52">
        <v>46198</v>
      </c>
      <c r="I7" s="53">
        <v>46154</v>
      </c>
      <c r="J7" s="175">
        <f>SUBTOTAL(9,L7:P7)</f>
        <v>0</v>
      </c>
      <c r="K7" s="175">
        <v>18</v>
      </c>
      <c r="L7" s="175">
        <v>1668</v>
      </c>
      <c r="M7" s="175">
        <v>1668</v>
      </c>
      <c r="N7" s="175">
        <v>1668</v>
      </c>
      <c r="O7" s="175">
        <v>1251</v>
      </c>
      <c r="P7" s="175">
        <v>1251</v>
      </c>
      <c r="Q7" s="49" t="s">
        <v>2147</v>
      </c>
      <c r="R7" s="49" t="s">
        <v>81</v>
      </c>
      <c r="S7" s="211" t="s">
        <v>1393</v>
      </c>
      <c r="T7" s="211" t="s">
        <v>84</v>
      </c>
      <c r="U7" s="48" t="s">
        <v>1876</v>
      </c>
      <c r="V7" s="48" t="s">
        <v>155</v>
      </c>
      <c r="W7" s="48" t="s">
        <v>2147</v>
      </c>
      <c r="X7" s="48" t="s">
        <v>2418</v>
      </c>
      <c r="Y7" s="176">
        <v>46198</v>
      </c>
      <c r="Z7" s="324">
        <v>46197</v>
      </c>
      <c r="AA7" s="325"/>
      <c r="AB7" s="176">
        <v>46220</v>
      </c>
      <c r="AC7" s="177"/>
      <c r="AD7" s="159" t="s">
        <v>3900</v>
      </c>
    </row>
    <row r="8" s="3" customFormat="1" ht="27" hidden="1" customHeight="1" spans="1:31">
      <c r="A8" s="208">
        <f t="shared" si="0"/>
        <v>5</v>
      </c>
      <c r="B8" s="48" t="s">
        <v>3902</v>
      </c>
      <c r="C8" s="49" t="s">
        <v>114</v>
      </c>
      <c r="D8" s="50" t="s">
        <v>3903</v>
      </c>
      <c r="E8" s="50" t="s">
        <v>3904</v>
      </c>
      <c r="F8" s="52">
        <v>46114</v>
      </c>
      <c r="G8" s="52">
        <v>46213</v>
      </c>
      <c r="H8" s="52">
        <v>46213</v>
      </c>
      <c r="I8" s="53">
        <v>46161</v>
      </c>
      <c r="J8" s="175">
        <f>SUBTOTAL(9,L8:P8)</f>
        <v>0</v>
      </c>
      <c r="K8" s="175">
        <v>18</v>
      </c>
      <c r="L8" s="175">
        <v>1600</v>
      </c>
      <c r="M8" s="175">
        <v>1600</v>
      </c>
      <c r="N8" s="175">
        <v>1600</v>
      </c>
      <c r="O8" s="175">
        <v>1200</v>
      </c>
      <c r="P8" s="175">
        <v>1200</v>
      </c>
      <c r="Q8" s="49" t="s">
        <v>1529</v>
      </c>
      <c r="R8" s="49" t="s">
        <v>81</v>
      </c>
      <c r="S8" s="211" t="s">
        <v>168</v>
      </c>
      <c r="T8" s="211" t="s">
        <v>84</v>
      </c>
      <c r="U8" s="48" t="s">
        <v>1876</v>
      </c>
      <c r="V8" s="48" t="s">
        <v>2426</v>
      </c>
      <c r="W8" s="48" t="s">
        <v>1529</v>
      </c>
      <c r="X8" s="48" t="s">
        <v>2104</v>
      </c>
      <c r="Y8" s="176">
        <v>46213</v>
      </c>
      <c r="Z8" s="324">
        <v>46204</v>
      </c>
      <c r="AA8" s="176"/>
      <c r="AB8" s="176">
        <v>46230</v>
      </c>
      <c r="AC8" s="177" t="s">
        <v>3905</v>
      </c>
      <c r="AD8" s="159" t="s">
        <v>3900</v>
      </c>
    </row>
    <row r="9" s="3" customFormat="1" ht="27" customHeight="1" spans="1:31">
      <c r="A9" s="215">
        <f t="shared" si="0"/>
        <v>6</v>
      </c>
      <c r="B9" s="183"/>
      <c r="C9" s="96"/>
      <c r="D9" s="216"/>
      <c r="E9" s="216"/>
      <c r="F9" s="217"/>
      <c r="G9" s="217"/>
      <c r="H9" s="217"/>
      <c r="I9" s="218"/>
      <c r="J9" s="95"/>
      <c r="K9" s="95"/>
      <c r="L9" s="277"/>
      <c r="M9" s="326"/>
      <c r="N9" s="326"/>
      <c r="O9" s="277"/>
      <c r="P9" s="277"/>
      <c r="Q9" s="219"/>
      <c r="R9" s="96"/>
      <c r="S9" s="279"/>
      <c r="T9" s="279"/>
      <c r="U9" s="183"/>
      <c r="V9" s="183"/>
      <c r="W9" s="183"/>
      <c r="X9" s="183"/>
      <c r="Y9" s="97"/>
      <c r="Z9" s="310"/>
      <c r="AA9" s="97"/>
      <c r="AB9" s="97"/>
      <c r="AC9" s="178"/>
      <c r="AD9" s="159"/>
    </row>
    <row r="10" s="3" customFormat="1" ht="27" customHeight="1" spans="1:31">
      <c r="A10" s="215"/>
      <c r="B10" s="183"/>
      <c r="C10" s="96"/>
      <c r="D10" s="216"/>
      <c r="E10" s="216"/>
      <c r="F10" s="217"/>
      <c r="G10" s="217"/>
      <c r="H10" s="217"/>
      <c r="I10" s="218"/>
      <c r="J10" s="95"/>
      <c r="K10" s="95"/>
      <c r="L10" s="277"/>
      <c r="M10" s="326"/>
      <c r="N10" s="326"/>
      <c r="O10" s="277"/>
      <c r="P10" s="277"/>
      <c r="Q10" s="219"/>
      <c r="R10" s="96"/>
      <c r="S10" s="279"/>
      <c r="T10" s="279"/>
      <c r="U10" s="183"/>
      <c r="V10" s="183"/>
      <c r="W10" s="183"/>
      <c r="X10" s="183"/>
      <c r="Y10" s="97"/>
      <c r="Z10" s="310"/>
      <c r="AA10" s="97"/>
      <c r="AB10" s="97"/>
      <c r="AC10" s="178"/>
      <c r="AD10" s="159"/>
    </row>
    <row r="11" s="3" customFormat="1" ht="17.1" customHeight="1" spans="1:31">
      <c r="A11" s="93" t="s">
        <v>66</v>
      </c>
      <c r="B11" s="94"/>
      <c r="C11" s="94"/>
      <c r="D11" s="94"/>
      <c r="E11" s="94"/>
      <c r="F11" s="94"/>
      <c r="G11" s="94"/>
      <c r="H11" s="94"/>
      <c r="I11" s="94"/>
      <c r="J11" s="95">
        <f>SUM(J4:J5)</f>
        <v>9108</v>
      </c>
      <c r="K11" s="95"/>
      <c r="L11" s="95">
        <f>SUM(L4:L10)</f>
        <v>5996</v>
      </c>
      <c r="M11" s="95">
        <f>SUM(M4:M10)</f>
        <v>5996</v>
      </c>
      <c r="N11" s="95">
        <f>SUM(N4:N10)</f>
        <v>5996</v>
      </c>
      <c r="O11" s="95">
        <f>SUM(O4:O10)</f>
        <v>4497</v>
      </c>
      <c r="P11" s="95">
        <f>SUM(P4:P10)</f>
        <v>4497</v>
      </c>
      <c r="Q11" s="95"/>
      <c r="R11" s="96"/>
      <c r="S11" s="96"/>
      <c r="T11" s="96"/>
      <c r="U11" s="96"/>
      <c r="V11" s="96"/>
      <c r="W11" s="96"/>
      <c r="X11" s="96"/>
      <c r="Y11" s="97"/>
      <c r="Z11" s="97"/>
      <c r="AA11" s="97"/>
      <c r="AB11" s="97"/>
      <c r="AC11" s="98"/>
      <c r="AD11" s="159"/>
    </row>
    <row r="12" s="4" customFormat="1" ht="17.1" customHeight="1" spans="1:31">
      <c r="A12" s="99"/>
      <c r="B12" s="100"/>
      <c r="C12" s="100"/>
      <c r="D12" s="100"/>
      <c r="E12" s="100"/>
      <c r="F12" s="100"/>
      <c r="G12" s="100"/>
      <c r="H12" s="100"/>
      <c r="I12" s="100"/>
      <c r="J12" s="133">
        <f>SUM(L12:P12)</f>
        <v>26982</v>
      </c>
      <c r="K12" s="100"/>
      <c r="L12" s="147">
        <f>1989+739+3268</f>
        <v>5996</v>
      </c>
      <c r="M12" s="147">
        <f>848+1880+3268</f>
        <v>5996</v>
      </c>
      <c r="N12" s="147">
        <f>847+1881+3268</f>
        <v>5996</v>
      </c>
      <c r="O12" s="147">
        <f>375+1671+2451</f>
        <v>4497</v>
      </c>
      <c r="P12" s="147">
        <f>375+1671+2451</f>
        <v>4497</v>
      </c>
      <c r="Q12" s="147"/>
      <c r="R12" s="100"/>
      <c r="S12" s="100"/>
      <c r="T12" s="100"/>
      <c r="U12" s="100"/>
      <c r="V12" s="100"/>
      <c r="W12" s="100"/>
      <c r="X12" s="100"/>
      <c r="Y12" s="100"/>
      <c r="Z12" s="101"/>
      <c r="AA12" s="101"/>
      <c r="AB12" s="101"/>
      <c r="AC12" s="102"/>
      <c r="AD12" s="295"/>
    </row>
    <row r="13" s="4" customFormat="1" ht="17.1" customHeight="1" spans="1:31">
      <c r="A13" s="241" t="s">
        <v>67</v>
      </c>
      <c r="B13" s="242"/>
      <c r="C13" s="242"/>
      <c r="D13" s="242"/>
      <c r="E13" s="242"/>
      <c r="F13" s="242"/>
      <c r="G13" s="242"/>
      <c r="H13" s="242"/>
      <c r="I13" s="243"/>
      <c r="J13" s="244">
        <f>SUM(L13:P13)</f>
        <v>0</v>
      </c>
      <c r="K13" s="245"/>
      <c r="L13" s="106">
        <f>L12-L11</f>
        <v>0</v>
      </c>
      <c r="M13" s="106">
        <f>M12-M11</f>
        <v>0</v>
      </c>
      <c r="N13" s="106">
        <f>N12-N11</f>
        <v>0</v>
      </c>
      <c r="O13" s="106">
        <f>O12-O11</f>
        <v>0</v>
      </c>
      <c r="P13" s="106">
        <f>P12-P11</f>
        <v>0</v>
      </c>
      <c r="Q13" s="106"/>
      <c r="R13" s="106"/>
      <c r="S13" s="106"/>
      <c r="T13" s="106"/>
      <c r="U13" s="106"/>
      <c r="V13" s="106"/>
      <c r="W13" s="106"/>
      <c r="X13" s="106"/>
      <c r="Y13" s="107"/>
      <c r="Z13" s="108"/>
      <c r="AA13" s="108"/>
      <c r="AB13" s="108"/>
      <c r="AC13" s="109"/>
      <c r="AD13" s="295"/>
    </row>
    <row r="14" spans="1:31">
      <c r="B14" s="110" t="s">
        <v>68</v>
      </c>
      <c r="C14" s="110"/>
      <c r="D14" s="111"/>
      <c r="E14" s="111"/>
      <c r="F14" s="111"/>
      <c r="G14" s="111"/>
      <c r="H14" s="111"/>
      <c r="I14" s="111"/>
    </row>
    <row r="18" spans="2:21">
      <c r="B18" s="286" t="s">
        <v>3895</v>
      </c>
      <c r="I18" s="193"/>
      <c r="J18" s="193"/>
      <c r="K18" s="193"/>
      <c r="U18" s="192"/>
    </row>
    <row r="19" spans="2:21">
      <c r="B19" s="286" t="s">
        <v>3896</v>
      </c>
      <c r="I19" s="193"/>
      <c r="J19" s="193"/>
      <c r="K19" s="193"/>
    </row>
    <row r="20" spans="2:21">
      <c r="B20" s="193" t="s">
        <v>3897</v>
      </c>
      <c r="C20" s="193"/>
      <c r="D20" s="193"/>
      <c r="E20" s="193"/>
      <c r="F20" t="s">
        <v>374</v>
      </c>
    </row>
    <row r="21" spans="2:21">
      <c r="B21" s="193" t="s">
        <v>3898</v>
      </c>
      <c r="C21" s="193"/>
      <c r="D21" s="193"/>
      <c r="E21" s="193"/>
      <c r="F21" t="s">
        <v>374</v>
      </c>
      <c r="G21">
        <f>1985-56-223-134</f>
        <v>1572</v>
      </c>
    </row>
  </sheetData>
  <autoFilter xmlns:etc="http://www.wps.cn/officeDocument/2017/etCustomData" ref="A2:AE9" etc:filterBottomFollowUsedRange="0">
    <filterColumn colId="27">
      <filters blank="1"/>
    </filterColumn>
    <extLst/>
  </autoFilter>
  <mergeCells count="35">
    <mergeCell ref="A1:X1"/>
    <mergeCell ref="Z1:AA1"/>
    <mergeCell ref="AB1:AC1"/>
    <mergeCell ref="L2:P2"/>
    <mergeCell ref="A11:I11"/>
    <mergeCell ref="A12:I12"/>
    <mergeCell ref="A13:I13"/>
    <mergeCell ref="I18:K18"/>
    <mergeCell ref="I19:K19"/>
    <mergeCell ref="B20:D20"/>
    <mergeCell ref="B21:D2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</mergeCells>
  <conditionalFormatting sqref="L13:X13">
    <cfRule type="cellIs" dxfId="0" priority="1" operator="lessThan">
      <formula>0</formula>
    </cfRule>
  </conditionalFormatting>
  <printOptions horizontalCentered="1"/>
  <pageMargins left="0.196850393700787" right="0.196850393700787" top="0.354330708661417" bottom="0.354330708661417" header="0.31496062992126" footer="0.31496062992126"/>
  <pageSetup paperSize="9" scale="60" orientation="landscape"/>
  <headerFooter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FF"/>
    <pageSetUpPr fitToPage="1"/>
  </sheetPr>
  <dimension ref="A1:AI18"/>
  <sheetViews>
    <sheetView workbookViewId="0">
      <pane xSplit="11" ySplit="3" topLeftCell="R4" activePane="bottomRight" state="frozen"/>
      <selection/>
      <selection pane="topRight"/>
      <selection pane="bottomLeft"/>
      <selection pane="bottomRight" activeCell="AA17" sqref="AA17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1.625" customWidth="1"/>
    <col min="6" max="9" width="5.875" customWidth="1"/>
    <col min="10" max="10" width="7.125" customWidth="1"/>
    <col min="11" max="11" width="5.125" customWidth="1"/>
    <col min="12" max="20" width="6.375" customWidth="1"/>
    <col min="21" max="21" width="9.375" customWidth="1"/>
    <col min="22" max="22" width="5.125" customWidth="1"/>
    <col min="23" max="24" width="6.625" customWidth="1"/>
    <col min="25" max="25" width="6.875" customWidth="1"/>
    <col min="26" max="26" width="8.875" customWidth="1"/>
    <col min="27" max="27" width="19.625" customWidth="1"/>
    <col min="28" max="28" width="8.625" style="114" customWidth="1"/>
    <col min="29" max="29" width="9.625" style="113" customWidth="1"/>
    <col min="30" max="30" width="7.125" style="113" customWidth="1"/>
    <col min="31" max="31" width="11" style="113" customWidth="1"/>
    <col min="32" max="32" width="16.125" style="194" customWidth="1"/>
    <col min="33" max="33" width="17.125" style="255" customWidth="1"/>
    <col min="34" max="34" width="6.375" customWidth="1"/>
  </cols>
  <sheetData>
    <row r="1" ht="35.1" customHeight="1" spans="1:35">
      <c r="A1" s="298" t="s">
        <v>3906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59" t="s">
        <v>1</v>
      </c>
      <c r="AC1" s="312"/>
      <c r="AD1" s="260"/>
      <c r="AE1" s="200">
        <f ca="1">TODAY()</f>
        <v>46277</v>
      </c>
      <c r="AF1" s="201"/>
    </row>
    <row r="2" s="190" customFormat="1" ht="21.95" customHeight="1" spans="1:35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8"/>
      <c r="R2" s="18"/>
      <c r="S2" s="18"/>
      <c r="T2" s="18"/>
      <c r="U2" s="20" t="s">
        <v>14</v>
      </c>
      <c r="V2" s="22" t="s">
        <v>15</v>
      </c>
      <c r="W2" s="22" t="s">
        <v>1982</v>
      </c>
      <c r="X2" s="22" t="s">
        <v>18</v>
      </c>
      <c r="Y2" s="22" t="s">
        <v>19</v>
      </c>
      <c r="Z2" s="22" t="s">
        <v>20</v>
      </c>
      <c r="AA2" s="261" t="s">
        <v>21</v>
      </c>
      <c r="AB2" s="25" t="s">
        <v>22</v>
      </c>
      <c r="AC2" s="26" t="s">
        <v>23</v>
      </c>
      <c r="AD2" s="26" t="s">
        <v>24</v>
      </c>
      <c r="AE2" s="26" t="s">
        <v>25</v>
      </c>
      <c r="AF2" s="205" t="s">
        <v>26</v>
      </c>
      <c r="AG2" s="159"/>
    </row>
    <row r="3" s="190" customFormat="1" ht="41.25" customHeight="1" spans="1:35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92" t="s">
        <v>1619</v>
      </c>
      <c r="M3" s="292" t="s">
        <v>2240</v>
      </c>
      <c r="N3" s="264" t="s">
        <v>2241</v>
      </c>
      <c r="O3" s="264" t="s">
        <v>1617</v>
      </c>
      <c r="P3" s="264" t="s">
        <v>2242</v>
      </c>
      <c r="Q3" s="313" t="s">
        <v>1844</v>
      </c>
      <c r="R3" s="313" t="s">
        <v>1845</v>
      </c>
      <c r="S3" s="314" t="s">
        <v>1846</v>
      </c>
      <c r="T3" s="315" t="s">
        <v>3907</v>
      </c>
      <c r="U3" s="31"/>
      <c r="V3" s="32"/>
      <c r="W3" s="32"/>
      <c r="X3" s="32"/>
      <c r="Y3" s="32"/>
      <c r="Z3" s="32"/>
      <c r="AA3" s="267"/>
      <c r="AB3" s="25"/>
      <c r="AC3" s="26"/>
      <c r="AD3" s="26"/>
      <c r="AE3" s="26"/>
      <c r="AF3" s="205"/>
      <c r="AG3" s="159" t="s">
        <v>65</v>
      </c>
      <c r="AH3" s="206"/>
      <c r="AI3" s="206" t="s">
        <v>2002</v>
      </c>
    </row>
    <row r="4" s="311" customFormat="1" ht="33" customHeight="1" spans="1:35">
      <c r="A4" s="208">
        <f>ROW()-3</f>
        <v>1</v>
      </c>
      <c r="B4" s="48" t="s">
        <v>2009</v>
      </c>
      <c r="C4" s="49" t="s">
        <v>741</v>
      </c>
      <c r="D4" s="51" t="s">
        <v>3908</v>
      </c>
      <c r="E4" s="51" t="s">
        <v>3909</v>
      </c>
      <c r="F4" s="52">
        <v>46148</v>
      </c>
      <c r="G4" s="52">
        <v>46219</v>
      </c>
      <c r="H4" s="52">
        <v>46219</v>
      </c>
      <c r="I4" s="53">
        <v>46164</v>
      </c>
      <c r="J4" s="175">
        <f>SUM(L4:T4)</f>
        <v>125028</v>
      </c>
      <c r="K4" s="175">
        <v>36</v>
      </c>
      <c r="L4" s="175">
        <v>17365</v>
      </c>
      <c r="M4" s="175">
        <v>10419</v>
      </c>
      <c r="N4" s="175">
        <v>10419</v>
      </c>
      <c r="O4" s="175">
        <v>10419</v>
      </c>
      <c r="P4" s="175">
        <v>17365</v>
      </c>
      <c r="Q4" s="175">
        <v>13892</v>
      </c>
      <c r="R4" s="175">
        <v>17365</v>
      </c>
      <c r="S4" s="175">
        <v>17365</v>
      </c>
      <c r="T4" s="175">
        <v>10419</v>
      </c>
      <c r="U4" s="316" t="s">
        <v>3847</v>
      </c>
      <c r="V4" s="49" t="s">
        <v>81</v>
      </c>
      <c r="W4" s="48" t="s">
        <v>561</v>
      </c>
      <c r="X4" s="48" t="s">
        <v>1876</v>
      </c>
      <c r="Y4" s="48" t="s">
        <v>587</v>
      </c>
      <c r="Z4" s="316" t="s">
        <v>3847</v>
      </c>
      <c r="AA4" s="48" t="s">
        <v>3910</v>
      </c>
      <c r="AB4" s="176">
        <v>46219</v>
      </c>
      <c r="AC4" s="317">
        <v>46220</v>
      </c>
      <c r="AD4" s="211" t="s">
        <v>3911</v>
      </c>
      <c r="AE4" s="211">
        <v>46223</v>
      </c>
      <c r="AF4" s="213" t="s">
        <v>3912</v>
      </c>
      <c r="AG4" s="3" t="s">
        <v>3913</v>
      </c>
      <c r="AH4" s="311" t="s">
        <v>1607</v>
      </c>
    </row>
    <row r="5" s="311" customFormat="1" ht="33" customHeight="1" spans="1:35">
      <c r="A5" s="208">
        <f>ROW()-3</f>
        <v>2</v>
      </c>
      <c r="B5" s="48" t="s">
        <v>2009</v>
      </c>
      <c r="C5" s="49" t="s">
        <v>741</v>
      </c>
      <c r="D5" s="51" t="s">
        <v>3914</v>
      </c>
      <c r="E5" s="51" t="s">
        <v>3915</v>
      </c>
      <c r="F5" s="52">
        <v>46148</v>
      </c>
      <c r="G5" s="52">
        <v>46258</v>
      </c>
      <c r="H5" s="52">
        <v>46258</v>
      </c>
      <c r="I5" s="53">
        <v>46164</v>
      </c>
      <c r="J5" s="175">
        <f>SUM(L5:T5)</f>
        <v>125028</v>
      </c>
      <c r="K5" s="175">
        <v>36</v>
      </c>
      <c r="L5" s="175">
        <v>17365</v>
      </c>
      <c r="M5" s="175">
        <v>10419</v>
      </c>
      <c r="N5" s="175">
        <v>10419</v>
      </c>
      <c r="O5" s="175">
        <v>10419</v>
      </c>
      <c r="P5" s="175">
        <v>17365</v>
      </c>
      <c r="Q5" s="175">
        <v>13892</v>
      </c>
      <c r="R5" s="175">
        <v>17365</v>
      </c>
      <c r="S5" s="175">
        <v>17365</v>
      </c>
      <c r="T5" s="175">
        <v>10419</v>
      </c>
      <c r="U5" s="316" t="s">
        <v>614</v>
      </c>
      <c r="V5" s="49" t="s">
        <v>81</v>
      </c>
      <c r="W5" s="305" t="s">
        <v>1227</v>
      </c>
      <c r="X5" s="48" t="s">
        <v>1602</v>
      </c>
      <c r="Y5" s="48" t="s">
        <v>1227</v>
      </c>
      <c r="Z5" s="316" t="s">
        <v>614</v>
      </c>
      <c r="AA5" s="48" t="s">
        <v>3910</v>
      </c>
      <c r="AB5" s="176">
        <v>46258</v>
      </c>
      <c r="AC5" s="318">
        <v>46261</v>
      </c>
      <c r="AD5" s="317"/>
      <c r="AE5" s="317">
        <v>46267</v>
      </c>
      <c r="AF5" s="213" t="s">
        <v>3916</v>
      </c>
      <c r="AG5" s="3" t="s">
        <v>3913</v>
      </c>
      <c r="AH5" s="311" t="s">
        <v>1607</v>
      </c>
    </row>
    <row r="6" s="311" customFormat="1" ht="37.5" customHeight="1" spans="1:35">
      <c r="A6" s="215">
        <f>ROW()-3</f>
        <v>3</v>
      </c>
      <c r="B6" s="183"/>
      <c r="C6" s="96"/>
      <c r="D6" s="216"/>
      <c r="E6" s="216"/>
      <c r="F6" s="217"/>
      <c r="G6" s="217"/>
      <c r="H6" s="217"/>
      <c r="I6" s="218"/>
      <c r="J6" s="282"/>
      <c r="K6" s="95"/>
      <c r="L6" s="95"/>
      <c r="M6" s="95"/>
      <c r="N6" s="95"/>
      <c r="O6" s="95"/>
      <c r="P6" s="95"/>
      <c r="Q6" s="95"/>
      <c r="R6" s="95"/>
      <c r="S6" s="95"/>
      <c r="T6" s="95"/>
      <c r="U6" s="319"/>
      <c r="V6" s="96"/>
      <c r="W6" s="297"/>
      <c r="X6" s="183"/>
      <c r="Y6" s="183"/>
      <c r="Z6" s="320"/>
      <c r="AA6" s="183"/>
      <c r="AB6" s="280"/>
      <c r="AC6" s="279"/>
      <c r="AD6" s="279"/>
      <c r="AE6" s="279"/>
      <c r="AF6" s="224"/>
      <c r="AG6" s="3"/>
    </row>
    <row r="7" s="311" customFormat="1" ht="37.5" customHeight="1" spans="1:35">
      <c r="A7" s="215">
        <f>ROW()-3</f>
        <v>4</v>
      </c>
      <c r="B7" s="183"/>
      <c r="C7" s="96"/>
      <c r="D7" s="216"/>
      <c r="E7" s="216"/>
      <c r="F7" s="217"/>
      <c r="G7" s="217"/>
      <c r="H7" s="217"/>
      <c r="I7" s="218"/>
      <c r="J7" s="282"/>
      <c r="K7" s="95"/>
      <c r="L7" s="95"/>
      <c r="M7" s="95"/>
      <c r="N7" s="95"/>
      <c r="O7" s="95"/>
      <c r="P7" s="95"/>
      <c r="Q7" s="95"/>
      <c r="R7" s="95"/>
      <c r="S7" s="95"/>
      <c r="T7" s="95"/>
      <c r="U7" s="319"/>
      <c r="V7" s="96"/>
      <c r="W7" s="297"/>
      <c r="X7" s="183"/>
      <c r="Y7" s="183"/>
      <c r="Z7" s="320"/>
      <c r="AA7" s="183"/>
      <c r="AB7" s="280"/>
      <c r="AC7" s="279"/>
      <c r="AD7" s="279"/>
      <c r="AE7" s="321"/>
      <c r="AF7" s="224"/>
      <c r="AG7" s="3"/>
    </row>
    <row r="8" s="311" customFormat="1" ht="37.5" customHeight="1" spans="1:35">
      <c r="A8" s="215">
        <f>ROW()-3</f>
        <v>5</v>
      </c>
      <c r="B8" s="183"/>
      <c r="C8" s="96"/>
      <c r="D8" s="216"/>
      <c r="E8" s="216"/>
      <c r="F8" s="217"/>
      <c r="G8" s="217"/>
      <c r="H8" s="217"/>
      <c r="I8" s="218"/>
      <c r="J8" s="282"/>
      <c r="K8" s="95"/>
      <c r="L8" s="95"/>
      <c r="M8" s="95"/>
      <c r="N8" s="95"/>
      <c r="O8" s="95"/>
      <c r="P8" s="95"/>
      <c r="Q8" s="95"/>
      <c r="R8" s="95"/>
      <c r="S8" s="95"/>
      <c r="T8" s="95"/>
      <c r="U8" s="319"/>
      <c r="V8" s="96"/>
      <c r="W8" s="297"/>
      <c r="X8" s="183"/>
      <c r="Y8" s="183"/>
      <c r="Z8" s="320"/>
      <c r="AA8" s="183"/>
      <c r="AB8" s="280"/>
      <c r="AC8" s="279"/>
      <c r="AD8" s="279"/>
      <c r="AE8" s="321"/>
      <c r="AF8" s="224"/>
      <c r="AG8" s="3"/>
    </row>
    <row r="9" s="3" customFormat="1" ht="30.95" customHeight="1" spans="1:35">
      <c r="A9" s="93" t="s">
        <v>66</v>
      </c>
      <c r="B9" s="94"/>
      <c r="C9" s="94"/>
      <c r="D9" s="94"/>
      <c r="E9" s="94"/>
      <c r="F9" s="94"/>
      <c r="G9" s="94"/>
      <c r="H9" s="94"/>
      <c r="I9" s="94"/>
      <c r="J9" s="95">
        <f>SUM(J4:J8)</f>
        <v>250056</v>
      </c>
      <c r="K9" s="95"/>
      <c r="L9" s="95">
        <f t="shared" ref="L9:T9" si="0">SUM(L4:L8)</f>
        <v>34730</v>
      </c>
      <c r="M9" s="95">
        <f t="shared" si="0"/>
        <v>20838</v>
      </c>
      <c r="N9" s="95">
        <f t="shared" si="0"/>
        <v>20838</v>
      </c>
      <c r="O9" s="95">
        <f t="shared" si="0"/>
        <v>20838</v>
      </c>
      <c r="P9" s="95">
        <f t="shared" si="0"/>
        <v>34730</v>
      </c>
      <c r="Q9" s="95">
        <f t="shared" si="0"/>
        <v>27784</v>
      </c>
      <c r="R9" s="95">
        <f t="shared" si="0"/>
        <v>34730</v>
      </c>
      <c r="S9" s="95">
        <f t="shared" si="0"/>
        <v>34730</v>
      </c>
      <c r="T9" s="95">
        <f t="shared" si="0"/>
        <v>20838</v>
      </c>
      <c r="U9" s="96"/>
      <c r="V9" s="96"/>
      <c r="W9" s="96"/>
      <c r="X9" s="96"/>
      <c r="Y9" s="96"/>
      <c r="Z9" s="96"/>
      <c r="AA9" s="96"/>
      <c r="AB9" s="97"/>
      <c r="AC9" s="97"/>
      <c r="AD9" s="97"/>
      <c r="AE9" s="97"/>
      <c r="AF9" s="239"/>
    </row>
    <row r="10" s="4" customFormat="1" ht="17.1" customHeight="1" spans="1:35">
      <c r="A10" s="99"/>
      <c r="B10" s="100"/>
      <c r="C10" s="100"/>
      <c r="D10" s="100"/>
      <c r="E10" s="100"/>
      <c r="F10" s="100"/>
      <c r="G10" s="100"/>
      <c r="H10" s="100"/>
      <c r="I10" s="100"/>
      <c r="J10" s="147">
        <f>SUM(L10:T10)</f>
        <v>250056</v>
      </c>
      <c r="K10" s="147"/>
      <c r="L10" s="147">
        <f>34730</f>
        <v>34730</v>
      </c>
      <c r="M10" s="147">
        <f>20838</f>
        <v>20838</v>
      </c>
      <c r="N10" s="147">
        <f>20838</f>
        <v>20838</v>
      </c>
      <c r="O10" s="147">
        <f>20838</f>
        <v>20838</v>
      </c>
      <c r="P10" s="147">
        <f>34730</f>
        <v>34730</v>
      </c>
      <c r="Q10" s="147">
        <f>27784</f>
        <v>27784</v>
      </c>
      <c r="R10" s="147">
        <f>34730</f>
        <v>34730</v>
      </c>
      <c r="S10" s="147">
        <f>34730</f>
        <v>34730</v>
      </c>
      <c r="T10" s="147">
        <f>20838</f>
        <v>20838</v>
      </c>
      <c r="U10" s="100"/>
      <c r="V10" s="100"/>
      <c r="W10" s="100"/>
      <c r="X10" s="100"/>
      <c r="Y10" s="100"/>
      <c r="Z10" s="100"/>
      <c r="AA10" s="100"/>
      <c r="AB10" s="101"/>
      <c r="AC10" s="101"/>
      <c r="AD10" s="101"/>
      <c r="AE10" s="101"/>
      <c r="AF10" s="240"/>
    </row>
    <row r="11" s="4" customFormat="1" ht="17.1" customHeight="1" spans="1:35">
      <c r="A11" s="241" t="s">
        <v>67</v>
      </c>
      <c r="B11" s="242"/>
      <c r="C11" s="242"/>
      <c r="D11" s="242"/>
      <c r="E11" s="242"/>
      <c r="F11" s="242"/>
      <c r="G11" s="242"/>
      <c r="H11" s="242"/>
      <c r="I11" s="243"/>
      <c r="J11" s="244">
        <f>SUM(L11:T11)</f>
        <v>0</v>
      </c>
      <c r="K11" s="245"/>
      <c r="L11" s="106">
        <f t="shared" ref="L11:T11" si="1">L10-L9</f>
        <v>0</v>
      </c>
      <c r="M11" s="106">
        <f t="shared" si="1"/>
        <v>0</v>
      </c>
      <c r="N11" s="106">
        <f t="shared" si="1"/>
        <v>0</v>
      </c>
      <c r="O11" s="106">
        <f t="shared" si="1"/>
        <v>0</v>
      </c>
      <c r="P11" s="106">
        <f t="shared" si="1"/>
        <v>0</v>
      </c>
      <c r="Q11" s="106">
        <f t="shared" si="1"/>
        <v>0</v>
      </c>
      <c r="R11" s="106">
        <f t="shared" si="1"/>
        <v>0</v>
      </c>
      <c r="S11" s="106">
        <f t="shared" si="1"/>
        <v>0</v>
      </c>
      <c r="T11" s="106">
        <f t="shared" si="1"/>
        <v>0</v>
      </c>
      <c r="U11" s="107"/>
      <c r="V11" s="107"/>
      <c r="W11" s="107"/>
      <c r="X11" s="107"/>
      <c r="Y11" s="107"/>
      <c r="Z11" s="107"/>
      <c r="AA11" s="107"/>
      <c r="AB11" s="108"/>
      <c r="AC11" s="108"/>
      <c r="AD11" s="108"/>
      <c r="AE11" s="108"/>
      <c r="AF11" s="246"/>
    </row>
    <row r="12" spans="1:35">
      <c r="B12" s="110" t="s">
        <v>68</v>
      </c>
      <c r="C12" s="110"/>
      <c r="D12" s="111"/>
      <c r="E12" s="111"/>
      <c r="F12" s="111"/>
      <c r="G12" s="111"/>
      <c r="H12" s="111" t="s">
        <v>377</v>
      </c>
      <c r="I12" s="111"/>
      <c r="J12" s="285"/>
    </row>
    <row r="15" spans="1:35">
      <c r="B15" s="286"/>
    </row>
    <row r="16" spans="1:35">
      <c r="B16" s="286"/>
    </row>
    <row r="17" spans="2:2">
      <c r="B17" s="286"/>
    </row>
    <row r="18" spans="2:2">
      <c r="B18" s="286"/>
    </row>
  </sheetData>
  <autoFilter xmlns:etc="http://www.wps.cn/officeDocument/2017/etCustomData" ref="A3:AI12" etc:filterBottomFollowUsedRange="0">
    <extLst/>
  </autoFilter>
  <mergeCells count="30">
    <mergeCell ref="A1:AA1"/>
    <mergeCell ref="AB1:AD1"/>
    <mergeCell ref="AE1:AF1"/>
    <mergeCell ref="L2:T2"/>
    <mergeCell ref="A9:I9"/>
    <mergeCell ref="A10:I10"/>
    <mergeCell ref="A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</mergeCells>
  <conditionalFormatting sqref="L11:T11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71" fitToHeight="2" orientation="landscape" horizontalDpi="1200" verticalDpi="1200"/>
  <headerFooter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99FF"/>
    <pageSetUpPr fitToPage="1"/>
  </sheetPr>
  <dimension ref="A1:AA29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V29" sqref="V29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5" width="11" customWidth="1"/>
    <col min="6" max="9" width="5.375" customWidth="1"/>
    <col min="10" max="10" width="7.125" customWidth="1"/>
    <col min="11" max="11" width="5.125" customWidth="1"/>
    <col min="12" max="12" width="11" customWidth="1"/>
    <col min="13" max="13" width="9.875" customWidth="1"/>
    <col min="14" max="14" width="8" customWidth="1"/>
    <col min="15" max="15" width="5.625" customWidth="1"/>
    <col min="16" max="16" width="6" customWidth="1"/>
    <col min="17" max="17" width="5.125" customWidth="1"/>
    <col min="18" max="18" width="6.125" customWidth="1"/>
    <col min="19" max="19" width="7.625" customWidth="1"/>
    <col min="20" max="20" width="20.375" customWidth="1"/>
    <col min="21" max="21" width="8.875" customWidth="1"/>
    <col min="22" max="22" width="9.125" style="113" customWidth="1"/>
    <col min="23" max="23" width="8.625" style="113" customWidth="1"/>
    <col min="24" max="24" width="7.375" style="113" customWidth="1"/>
    <col min="25" max="25" width="16.625" customWidth="1"/>
    <col min="26" max="26" width="16.625" style="288" customWidth="1"/>
    <col min="27" max="27" width="13.125" customWidth="1"/>
  </cols>
  <sheetData>
    <row r="1" ht="35.1" customHeight="1" spans="1:27">
      <c r="A1" s="298" t="s">
        <v>3917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300"/>
      <c r="V1" s="259" t="s">
        <v>1</v>
      </c>
      <c r="W1" s="260"/>
      <c r="X1" s="200">
        <f ca="1">TODAY()</f>
        <v>46277</v>
      </c>
      <c r="Y1" s="201"/>
      <c r="Z1" s="301"/>
    </row>
    <row r="2" s="190" customFormat="1" ht="21.95" customHeight="1" spans="1:27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7" t="s">
        <v>13</v>
      </c>
      <c r="M2" s="188"/>
      <c r="N2" s="19" t="s">
        <v>14</v>
      </c>
      <c r="O2" s="21" t="s">
        <v>661</v>
      </c>
      <c r="P2" s="21" t="s">
        <v>662</v>
      </c>
      <c r="Q2" s="22" t="s">
        <v>18</v>
      </c>
      <c r="R2" s="21" t="s">
        <v>19</v>
      </c>
      <c r="S2" s="22" t="s">
        <v>20</v>
      </c>
      <c r="T2" s="24" t="s">
        <v>21</v>
      </c>
      <c r="U2" s="19" t="s">
        <v>22</v>
      </c>
      <c r="V2" s="302" t="s">
        <v>23</v>
      </c>
      <c r="W2" s="26" t="s">
        <v>24</v>
      </c>
      <c r="X2" s="26" t="s">
        <v>25</v>
      </c>
      <c r="Y2" s="27" t="s">
        <v>26</v>
      </c>
      <c r="Z2" s="190" t="s">
        <v>65</v>
      </c>
      <c r="AA2" s="190" t="s">
        <v>3880</v>
      </c>
    </row>
    <row r="3" s="190" customFormat="1" ht="24.95" customHeight="1" spans="1:27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4" t="s">
        <v>3918</v>
      </c>
      <c r="M3" s="264" t="s">
        <v>3919</v>
      </c>
      <c r="N3" s="19"/>
      <c r="O3" s="21"/>
      <c r="P3" s="21"/>
      <c r="Q3" s="32"/>
      <c r="R3" s="21"/>
      <c r="S3" s="32"/>
      <c r="T3" s="24"/>
      <c r="U3" s="19"/>
      <c r="V3" s="303"/>
      <c r="W3" s="26"/>
      <c r="X3" s="26"/>
      <c r="Y3" s="27"/>
    </row>
    <row r="4" s="3" customFormat="1" ht="33.75" hidden="1" customHeight="1" spans="1:27">
      <c r="A4" s="208">
        <f>ROW()-3</f>
        <v>1</v>
      </c>
      <c r="B4" s="48" t="s">
        <v>3920</v>
      </c>
      <c r="C4" s="49" t="s">
        <v>101</v>
      </c>
      <c r="D4" s="50" t="s">
        <v>3921</v>
      </c>
      <c r="E4" s="50" t="s">
        <v>3922</v>
      </c>
      <c r="F4" s="52">
        <v>46036</v>
      </c>
      <c r="G4" s="56">
        <v>46164</v>
      </c>
      <c r="H4" s="56">
        <v>46164</v>
      </c>
      <c r="I4" s="53">
        <v>46091</v>
      </c>
      <c r="J4" s="304">
        <v>7212</v>
      </c>
      <c r="K4" s="175">
        <v>12</v>
      </c>
      <c r="L4" s="175">
        <f t="shared" ref="L4:L19" si="0">$J4/$K4*6</f>
        <v>3606</v>
      </c>
      <c r="M4" s="175">
        <f t="shared" ref="M4:M19" si="1">$J4/$K4*6</f>
        <v>3606</v>
      </c>
      <c r="N4" s="48" t="s">
        <v>3923</v>
      </c>
      <c r="O4" s="49" t="s">
        <v>81</v>
      </c>
      <c r="P4" s="211" t="s">
        <v>138</v>
      </c>
      <c r="Q4" s="48" t="s">
        <v>1744</v>
      </c>
      <c r="R4" s="305" t="s">
        <v>138</v>
      </c>
      <c r="S4" s="305" t="s">
        <v>3924</v>
      </c>
      <c r="T4" s="48" t="s">
        <v>3207</v>
      </c>
      <c r="U4" s="176">
        <v>46162</v>
      </c>
      <c r="V4" s="211" t="s">
        <v>3925</v>
      </c>
      <c r="W4" s="211" t="s">
        <v>3926</v>
      </c>
      <c r="X4" s="176">
        <v>46171</v>
      </c>
      <c r="Y4" s="37">
        <v>1815843</v>
      </c>
      <c r="Z4" s="159" t="s">
        <v>3927</v>
      </c>
    </row>
    <row r="5" s="3" customFormat="1" ht="33.75" hidden="1" customHeight="1" spans="1:27">
      <c r="A5" s="208">
        <f t="shared" ref="A5:A19" si="2">ROW()-3</f>
        <v>2</v>
      </c>
      <c r="B5" s="48" t="s">
        <v>3920</v>
      </c>
      <c r="C5" s="49" t="s">
        <v>101</v>
      </c>
      <c r="D5" s="50" t="s">
        <v>3928</v>
      </c>
      <c r="E5" s="50" t="s">
        <v>3929</v>
      </c>
      <c r="F5" s="52">
        <v>46036</v>
      </c>
      <c r="G5" s="56">
        <v>46164</v>
      </c>
      <c r="H5" s="56">
        <v>46164</v>
      </c>
      <c r="I5" s="53">
        <v>46091</v>
      </c>
      <c r="J5" s="304">
        <v>4044</v>
      </c>
      <c r="K5" s="175">
        <v>12</v>
      </c>
      <c r="L5" s="175">
        <f t="shared" si="0"/>
        <v>2022</v>
      </c>
      <c r="M5" s="175">
        <f t="shared" si="1"/>
        <v>2022</v>
      </c>
      <c r="N5" s="48" t="s">
        <v>3923</v>
      </c>
      <c r="O5" s="49" t="s">
        <v>81</v>
      </c>
      <c r="P5" s="211" t="s">
        <v>138</v>
      </c>
      <c r="Q5" s="48" t="s">
        <v>1744</v>
      </c>
      <c r="R5" s="305" t="s">
        <v>138</v>
      </c>
      <c r="S5" s="305" t="s">
        <v>3924</v>
      </c>
      <c r="T5" s="48" t="s">
        <v>3207</v>
      </c>
      <c r="U5" s="176">
        <v>46162</v>
      </c>
      <c r="V5" s="176">
        <v>46156</v>
      </c>
      <c r="W5" s="211" t="s">
        <v>3926</v>
      </c>
      <c r="X5" s="176">
        <v>46171</v>
      </c>
      <c r="Y5" s="37">
        <v>7385526</v>
      </c>
      <c r="Z5" s="159" t="s">
        <v>3927</v>
      </c>
    </row>
    <row r="6" s="3" customFormat="1" ht="33.75" hidden="1" customHeight="1" spans="1:27">
      <c r="A6" s="208">
        <f t="shared" si="2"/>
        <v>3</v>
      </c>
      <c r="B6" s="48" t="s">
        <v>3920</v>
      </c>
      <c r="C6" s="49" t="s">
        <v>101</v>
      </c>
      <c r="D6" s="50" t="s">
        <v>3930</v>
      </c>
      <c r="E6" s="50" t="s">
        <v>3931</v>
      </c>
      <c r="F6" s="52">
        <v>46036</v>
      </c>
      <c r="G6" s="56">
        <v>46164</v>
      </c>
      <c r="H6" s="56">
        <v>46164</v>
      </c>
      <c r="I6" s="53">
        <v>46091</v>
      </c>
      <c r="J6" s="304">
        <v>4176</v>
      </c>
      <c r="K6" s="175">
        <v>12</v>
      </c>
      <c r="L6" s="175">
        <f t="shared" si="0"/>
        <v>2088</v>
      </c>
      <c r="M6" s="175">
        <f t="shared" si="1"/>
        <v>2088</v>
      </c>
      <c r="N6" s="48" t="s">
        <v>3923</v>
      </c>
      <c r="O6" s="49" t="s">
        <v>81</v>
      </c>
      <c r="P6" s="211" t="s">
        <v>138</v>
      </c>
      <c r="Q6" s="48" t="s">
        <v>1744</v>
      </c>
      <c r="R6" s="305" t="s">
        <v>138</v>
      </c>
      <c r="S6" s="305" t="s">
        <v>3924</v>
      </c>
      <c r="T6" s="48" t="s">
        <v>3207</v>
      </c>
      <c r="U6" s="176">
        <v>46162</v>
      </c>
      <c r="V6" s="176">
        <v>46156</v>
      </c>
      <c r="W6" s="211" t="s">
        <v>3926</v>
      </c>
      <c r="X6" s="176">
        <v>46171</v>
      </c>
      <c r="Y6" s="1295" t="s">
        <v>3932</v>
      </c>
      <c r="Z6" s="159" t="s">
        <v>3927</v>
      </c>
    </row>
    <row r="7" s="3" customFormat="1" ht="33.75" hidden="1" customHeight="1" spans="1:27">
      <c r="A7" s="208">
        <f t="shared" si="2"/>
        <v>4</v>
      </c>
      <c r="B7" s="48" t="s">
        <v>3920</v>
      </c>
      <c r="C7" s="49" t="s">
        <v>101</v>
      </c>
      <c r="D7" s="50" t="s">
        <v>3933</v>
      </c>
      <c r="E7" s="50" t="s">
        <v>3934</v>
      </c>
      <c r="F7" s="52">
        <v>46036</v>
      </c>
      <c r="G7" s="56">
        <v>46164</v>
      </c>
      <c r="H7" s="56">
        <v>46164</v>
      </c>
      <c r="I7" s="53">
        <v>46091</v>
      </c>
      <c r="J7" s="304">
        <v>1944</v>
      </c>
      <c r="K7" s="175">
        <v>12</v>
      </c>
      <c r="L7" s="175">
        <f t="shared" si="0"/>
        <v>972</v>
      </c>
      <c r="M7" s="175">
        <f t="shared" si="1"/>
        <v>972</v>
      </c>
      <c r="N7" s="48" t="s">
        <v>3923</v>
      </c>
      <c r="O7" s="49" t="s">
        <v>81</v>
      </c>
      <c r="P7" s="211" t="s">
        <v>138</v>
      </c>
      <c r="Q7" s="48" t="s">
        <v>1744</v>
      </c>
      <c r="R7" s="305" t="s">
        <v>138</v>
      </c>
      <c r="S7" s="305" t="s">
        <v>3924</v>
      </c>
      <c r="T7" s="48" t="s">
        <v>3207</v>
      </c>
      <c r="U7" s="176">
        <v>46162</v>
      </c>
      <c r="V7" s="176">
        <v>46156</v>
      </c>
      <c r="W7" s="211" t="s">
        <v>3926</v>
      </c>
      <c r="X7" s="176">
        <v>46171</v>
      </c>
      <c r="Y7" s="1295" t="s">
        <v>3935</v>
      </c>
      <c r="Z7" s="159" t="s">
        <v>3927</v>
      </c>
    </row>
    <row r="8" s="3" customFormat="1" ht="33.75" hidden="1" customHeight="1" spans="1:27">
      <c r="A8" s="208">
        <f t="shared" si="2"/>
        <v>5</v>
      </c>
      <c r="B8" s="48" t="s">
        <v>3920</v>
      </c>
      <c r="C8" s="49" t="s">
        <v>101</v>
      </c>
      <c r="D8" s="50" t="s">
        <v>3936</v>
      </c>
      <c r="E8" s="50" t="s">
        <v>3937</v>
      </c>
      <c r="F8" s="52">
        <v>46036</v>
      </c>
      <c r="G8" s="56">
        <v>46164</v>
      </c>
      <c r="H8" s="56">
        <v>46164</v>
      </c>
      <c r="I8" s="53">
        <v>46091</v>
      </c>
      <c r="J8" s="304">
        <v>3264</v>
      </c>
      <c r="K8" s="175">
        <v>12</v>
      </c>
      <c r="L8" s="175">
        <f t="shared" si="0"/>
        <v>1632</v>
      </c>
      <c r="M8" s="175">
        <f t="shared" si="1"/>
        <v>1632</v>
      </c>
      <c r="N8" s="48" t="s">
        <v>3923</v>
      </c>
      <c r="O8" s="49" t="s">
        <v>81</v>
      </c>
      <c r="P8" s="211" t="s">
        <v>138</v>
      </c>
      <c r="Q8" s="48" t="s">
        <v>1744</v>
      </c>
      <c r="R8" s="305" t="s">
        <v>138</v>
      </c>
      <c r="S8" s="305" t="s">
        <v>3924</v>
      </c>
      <c r="T8" s="48" t="s">
        <v>3207</v>
      </c>
      <c r="U8" s="176">
        <v>46162</v>
      </c>
      <c r="V8" s="176">
        <v>46156</v>
      </c>
      <c r="W8" s="211" t="s">
        <v>3926</v>
      </c>
      <c r="X8" s="176">
        <v>46171</v>
      </c>
      <c r="Y8" s="37">
        <v>1536133</v>
      </c>
      <c r="Z8" s="159" t="s">
        <v>3927</v>
      </c>
    </row>
    <row r="9" s="3" customFormat="1" ht="33.75" hidden="1" customHeight="1" spans="1:27">
      <c r="A9" s="208">
        <f t="shared" si="2"/>
        <v>6</v>
      </c>
      <c r="B9" s="48" t="s">
        <v>3920</v>
      </c>
      <c r="C9" s="49" t="s">
        <v>101</v>
      </c>
      <c r="D9" s="50" t="s">
        <v>3938</v>
      </c>
      <c r="E9" s="50" t="s">
        <v>3939</v>
      </c>
      <c r="F9" s="52">
        <v>46036</v>
      </c>
      <c r="G9" s="56">
        <v>46162</v>
      </c>
      <c r="H9" s="56">
        <v>46162</v>
      </c>
      <c r="I9" s="53">
        <v>46091</v>
      </c>
      <c r="J9" s="304">
        <v>5400</v>
      </c>
      <c r="K9" s="175">
        <v>12</v>
      </c>
      <c r="L9" s="175">
        <f t="shared" si="0"/>
        <v>2700</v>
      </c>
      <c r="M9" s="175">
        <f t="shared" si="1"/>
        <v>2700</v>
      </c>
      <c r="N9" s="48" t="s">
        <v>3923</v>
      </c>
      <c r="O9" s="49" t="s">
        <v>81</v>
      </c>
      <c r="P9" s="211" t="s">
        <v>138</v>
      </c>
      <c r="Q9" s="48" t="s">
        <v>1744</v>
      </c>
      <c r="R9" s="305" t="s">
        <v>138</v>
      </c>
      <c r="S9" s="305" t="s">
        <v>3924</v>
      </c>
      <c r="T9" s="48" t="s">
        <v>3207</v>
      </c>
      <c r="U9" s="176">
        <v>46162</v>
      </c>
      <c r="V9" s="176">
        <v>46156</v>
      </c>
      <c r="W9" s="211" t="s">
        <v>3926</v>
      </c>
      <c r="X9" s="176">
        <v>46171</v>
      </c>
      <c r="Y9" s="37">
        <v>3704895</v>
      </c>
      <c r="Z9" s="159" t="s">
        <v>3927</v>
      </c>
    </row>
    <row r="10" s="3" customFormat="1" ht="33.75" hidden="1" customHeight="1" spans="1:27">
      <c r="A10" s="208">
        <f t="shared" si="2"/>
        <v>7</v>
      </c>
      <c r="B10" s="48" t="s">
        <v>3920</v>
      </c>
      <c r="C10" s="49" t="s">
        <v>101</v>
      </c>
      <c r="D10" s="50" t="s">
        <v>3940</v>
      </c>
      <c r="E10" s="50" t="s">
        <v>3941</v>
      </c>
      <c r="F10" s="52">
        <v>46036</v>
      </c>
      <c r="G10" s="56">
        <v>46164</v>
      </c>
      <c r="H10" s="56">
        <v>46164</v>
      </c>
      <c r="I10" s="53">
        <v>46091</v>
      </c>
      <c r="J10" s="304">
        <v>4956</v>
      </c>
      <c r="K10" s="175">
        <v>12</v>
      </c>
      <c r="L10" s="175">
        <f t="shared" si="0"/>
        <v>2478</v>
      </c>
      <c r="M10" s="175">
        <f t="shared" si="1"/>
        <v>2478</v>
      </c>
      <c r="N10" s="48" t="s">
        <v>3923</v>
      </c>
      <c r="O10" s="49" t="s">
        <v>81</v>
      </c>
      <c r="P10" s="211" t="s">
        <v>138</v>
      </c>
      <c r="Q10" s="48" t="s">
        <v>1744</v>
      </c>
      <c r="R10" s="305" t="s">
        <v>138</v>
      </c>
      <c r="S10" s="305" t="s">
        <v>3924</v>
      </c>
      <c r="T10" s="48" t="s">
        <v>3207</v>
      </c>
      <c r="U10" s="176">
        <v>46162</v>
      </c>
      <c r="V10" s="176">
        <v>46156</v>
      </c>
      <c r="W10" s="211" t="s">
        <v>3926</v>
      </c>
      <c r="X10" s="176">
        <v>46171</v>
      </c>
      <c r="Y10" s="37">
        <v>4755075</v>
      </c>
      <c r="Z10" s="159" t="s">
        <v>3927</v>
      </c>
    </row>
    <row r="11" s="3" customFormat="1" ht="33.75" hidden="1" customHeight="1" spans="1:27">
      <c r="A11" s="208">
        <f t="shared" si="2"/>
        <v>8</v>
      </c>
      <c r="B11" s="48" t="s">
        <v>3920</v>
      </c>
      <c r="C11" s="49" t="s">
        <v>101</v>
      </c>
      <c r="D11" s="50" t="s">
        <v>3942</v>
      </c>
      <c r="E11" s="50" t="s">
        <v>3943</v>
      </c>
      <c r="F11" s="52">
        <v>46036</v>
      </c>
      <c r="G11" s="56">
        <v>46164</v>
      </c>
      <c r="H11" s="56">
        <v>46164</v>
      </c>
      <c r="I11" s="53">
        <v>46091</v>
      </c>
      <c r="J11" s="304">
        <v>3000</v>
      </c>
      <c r="K11" s="175">
        <v>12</v>
      </c>
      <c r="L11" s="175">
        <f t="shared" si="0"/>
        <v>1500</v>
      </c>
      <c r="M11" s="175">
        <f t="shared" si="1"/>
        <v>1500</v>
      </c>
      <c r="N11" s="48" t="s">
        <v>3923</v>
      </c>
      <c r="O11" s="49" t="s">
        <v>81</v>
      </c>
      <c r="P11" s="211" t="s">
        <v>138</v>
      </c>
      <c r="Q11" s="48" t="s">
        <v>1744</v>
      </c>
      <c r="R11" s="305" t="s">
        <v>138</v>
      </c>
      <c r="S11" s="305" t="s">
        <v>3924</v>
      </c>
      <c r="T11" s="48" t="s">
        <v>3207</v>
      </c>
      <c r="U11" s="176">
        <v>46162</v>
      </c>
      <c r="V11" s="176">
        <v>46156</v>
      </c>
      <c r="W11" s="211" t="s">
        <v>3926</v>
      </c>
      <c r="X11" s="176">
        <v>46171</v>
      </c>
      <c r="Y11" s="37">
        <v>5437007</v>
      </c>
      <c r="Z11" s="159" t="s">
        <v>3927</v>
      </c>
    </row>
    <row r="12" s="3" customFormat="1" ht="33.75" hidden="1" customHeight="1" spans="1:27">
      <c r="A12" s="208">
        <f t="shared" si="2"/>
        <v>9</v>
      </c>
      <c r="B12" s="48" t="s">
        <v>3920</v>
      </c>
      <c r="C12" s="49" t="s">
        <v>101</v>
      </c>
      <c r="D12" s="50" t="s">
        <v>3944</v>
      </c>
      <c r="E12" s="50" t="s">
        <v>3945</v>
      </c>
      <c r="F12" s="52">
        <v>46036</v>
      </c>
      <c r="G12" s="56">
        <v>46164</v>
      </c>
      <c r="H12" s="56">
        <v>46164</v>
      </c>
      <c r="I12" s="53">
        <v>46091</v>
      </c>
      <c r="J12" s="304">
        <v>2988</v>
      </c>
      <c r="K12" s="175">
        <v>12</v>
      </c>
      <c r="L12" s="175">
        <f t="shared" si="0"/>
        <v>1494</v>
      </c>
      <c r="M12" s="175">
        <f t="shared" si="1"/>
        <v>1494</v>
      </c>
      <c r="N12" s="48" t="s">
        <v>3923</v>
      </c>
      <c r="O12" s="49" t="s">
        <v>81</v>
      </c>
      <c r="P12" s="211" t="s">
        <v>138</v>
      </c>
      <c r="Q12" s="48" t="s">
        <v>1744</v>
      </c>
      <c r="R12" s="305" t="s">
        <v>138</v>
      </c>
      <c r="S12" s="305" t="s">
        <v>3924</v>
      </c>
      <c r="T12" s="48" t="s">
        <v>3207</v>
      </c>
      <c r="U12" s="176">
        <v>46162</v>
      </c>
      <c r="V12" s="176">
        <v>46156</v>
      </c>
      <c r="W12" s="211" t="s">
        <v>3926</v>
      </c>
      <c r="X12" s="176">
        <v>46171</v>
      </c>
      <c r="Y12" s="37">
        <v>5622459</v>
      </c>
      <c r="Z12" s="159" t="s">
        <v>3927</v>
      </c>
    </row>
    <row r="13" s="3" customFormat="1" ht="33.75" hidden="1" customHeight="1" spans="1:27">
      <c r="A13" s="208">
        <f t="shared" si="2"/>
        <v>10</v>
      </c>
      <c r="B13" s="48" t="s">
        <v>3920</v>
      </c>
      <c r="C13" s="49" t="s">
        <v>101</v>
      </c>
      <c r="D13" s="50" t="s">
        <v>3946</v>
      </c>
      <c r="E13" s="50" t="s">
        <v>3947</v>
      </c>
      <c r="F13" s="52">
        <v>46036</v>
      </c>
      <c r="G13" s="56">
        <v>46164</v>
      </c>
      <c r="H13" s="56">
        <v>46164</v>
      </c>
      <c r="I13" s="53">
        <v>46091</v>
      </c>
      <c r="J13" s="304">
        <v>2808</v>
      </c>
      <c r="K13" s="175">
        <v>12</v>
      </c>
      <c r="L13" s="175">
        <f t="shared" si="0"/>
        <v>1404</v>
      </c>
      <c r="M13" s="175">
        <f t="shared" si="1"/>
        <v>1404</v>
      </c>
      <c r="N13" s="48" t="s">
        <v>3923</v>
      </c>
      <c r="O13" s="49" t="s">
        <v>81</v>
      </c>
      <c r="P13" s="211" t="s">
        <v>138</v>
      </c>
      <c r="Q13" s="48" t="s">
        <v>1744</v>
      </c>
      <c r="R13" s="305" t="s">
        <v>138</v>
      </c>
      <c r="S13" s="305" t="s">
        <v>3924</v>
      </c>
      <c r="T13" s="48" t="s">
        <v>3207</v>
      </c>
      <c r="U13" s="176">
        <v>46162</v>
      </c>
      <c r="V13" s="176">
        <v>46156</v>
      </c>
      <c r="W13" s="211" t="s">
        <v>3926</v>
      </c>
      <c r="X13" s="176">
        <v>46171</v>
      </c>
      <c r="Y13" s="37">
        <v>6599122</v>
      </c>
      <c r="Z13" s="159" t="s">
        <v>3927</v>
      </c>
    </row>
    <row r="14" s="3" customFormat="1" ht="33.75" hidden="1" customHeight="1" spans="1:27">
      <c r="A14" s="208">
        <f t="shared" si="2"/>
        <v>11</v>
      </c>
      <c r="B14" s="48" t="s">
        <v>3920</v>
      </c>
      <c r="C14" s="49" t="s">
        <v>101</v>
      </c>
      <c r="D14" s="50" t="s">
        <v>3948</v>
      </c>
      <c r="E14" s="50" t="s">
        <v>3949</v>
      </c>
      <c r="F14" s="52">
        <v>46036</v>
      </c>
      <c r="G14" s="56">
        <v>46164</v>
      </c>
      <c r="H14" s="56">
        <v>46164</v>
      </c>
      <c r="I14" s="53">
        <v>46091</v>
      </c>
      <c r="J14" s="304">
        <v>3552</v>
      </c>
      <c r="K14" s="175">
        <v>12</v>
      </c>
      <c r="L14" s="175">
        <f t="shared" si="0"/>
        <v>1776</v>
      </c>
      <c r="M14" s="175">
        <f t="shared" si="1"/>
        <v>1776</v>
      </c>
      <c r="N14" s="48" t="s">
        <v>3923</v>
      </c>
      <c r="O14" s="49" t="s">
        <v>81</v>
      </c>
      <c r="P14" s="211" t="s">
        <v>138</v>
      </c>
      <c r="Q14" s="48" t="s">
        <v>1744</v>
      </c>
      <c r="R14" s="305" t="s">
        <v>138</v>
      </c>
      <c r="S14" s="305" t="s">
        <v>3924</v>
      </c>
      <c r="T14" s="48" t="s">
        <v>3207</v>
      </c>
      <c r="U14" s="176">
        <v>46162</v>
      </c>
      <c r="V14" s="176">
        <v>46156</v>
      </c>
      <c r="W14" s="211" t="s">
        <v>3926</v>
      </c>
      <c r="X14" s="176">
        <v>46171</v>
      </c>
      <c r="Y14" s="37">
        <v>8553160</v>
      </c>
      <c r="Z14" s="159" t="s">
        <v>3927</v>
      </c>
    </row>
    <row r="15" s="3" customFormat="1" ht="33.75" hidden="1" customHeight="1" spans="1:27">
      <c r="A15" s="208">
        <f t="shared" si="2"/>
        <v>12</v>
      </c>
      <c r="B15" s="48" t="s">
        <v>3920</v>
      </c>
      <c r="C15" s="49" t="s">
        <v>101</v>
      </c>
      <c r="D15" s="50" t="s">
        <v>3950</v>
      </c>
      <c r="E15" s="50" t="s">
        <v>3951</v>
      </c>
      <c r="F15" s="52">
        <v>46036</v>
      </c>
      <c r="G15" s="56">
        <v>46164</v>
      </c>
      <c r="H15" s="56">
        <v>46164</v>
      </c>
      <c r="I15" s="53">
        <v>46091</v>
      </c>
      <c r="J15" s="304">
        <v>3240</v>
      </c>
      <c r="K15" s="175">
        <v>12</v>
      </c>
      <c r="L15" s="175">
        <f t="shared" si="0"/>
        <v>1620</v>
      </c>
      <c r="M15" s="175">
        <f t="shared" si="1"/>
        <v>1620</v>
      </c>
      <c r="N15" s="48" t="s">
        <v>3923</v>
      </c>
      <c r="O15" s="49" t="s">
        <v>81</v>
      </c>
      <c r="P15" s="211" t="s">
        <v>138</v>
      </c>
      <c r="Q15" s="48" t="s">
        <v>1744</v>
      </c>
      <c r="R15" s="305" t="s">
        <v>138</v>
      </c>
      <c r="S15" s="305" t="s">
        <v>3924</v>
      </c>
      <c r="T15" s="48" t="s">
        <v>3207</v>
      </c>
      <c r="U15" s="176">
        <v>46162</v>
      </c>
      <c r="V15" s="176">
        <v>46156</v>
      </c>
      <c r="W15" s="211" t="s">
        <v>3926</v>
      </c>
      <c r="X15" s="176">
        <v>46171</v>
      </c>
      <c r="Y15" s="37">
        <v>9157464</v>
      </c>
      <c r="Z15" s="159" t="s">
        <v>3927</v>
      </c>
    </row>
    <row r="16" s="3" customFormat="1" ht="33.75" hidden="1" customHeight="1" spans="1:27">
      <c r="A16" s="208">
        <f t="shared" si="2"/>
        <v>13</v>
      </c>
      <c r="B16" s="48" t="s">
        <v>3920</v>
      </c>
      <c r="C16" s="49" t="s">
        <v>101</v>
      </c>
      <c r="D16" s="50" t="s">
        <v>3952</v>
      </c>
      <c r="E16" s="50" t="s">
        <v>3953</v>
      </c>
      <c r="F16" s="52">
        <v>46036</v>
      </c>
      <c r="G16" s="56">
        <v>46164</v>
      </c>
      <c r="H16" s="56">
        <v>46164</v>
      </c>
      <c r="I16" s="53">
        <v>46091</v>
      </c>
      <c r="J16" s="304">
        <v>2688</v>
      </c>
      <c r="K16" s="175">
        <v>12</v>
      </c>
      <c r="L16" s="175">
        <f t="shared" si="0"/>
        <v>1344</v>
      </c>
      <c r="M16" s="175">
        <f t="shared" si="1"/>
        <v>1344</v>
      </c>
      <c r="N16" s="48" t="s">
        <v>3923</v>
      </c>
      <c r="O16" s="49" t="s">
        <v>81</v>
      </c>
      <c r="P16" s="211" t="s">
        <v>138</v>
      </c>
      <c r="Q16" s="48" t="s">
        <v>1744</v>
      </c>
      <c r="R16" s="305" t="s">
        <v>138</v>
      </c>
      <c r="S16" s="305" t="s">
        <v>3924</v>
      </c>
      <c r="T16" s="48" t="s">
        <v>3207</v>
      </c>
      <c r="U16" s="176">
        <v>46162</v>
      </c>
      <c r="V16" s="176">
        <v>46156</v>
      </c>
      <c r="W16" s="211" t="s">
        <v>3926</v>
      </c>
      <c r="X16" s="176">
        <v>46171</v>
      </c>
      <c r="Y16" s="37">
        <v>9620663</v>
      </c>
      <c r="Z16" s="159" t="s">
        <v>3927</v>
      </c>
    </row>
    <row r="17" s="3" customFormat="1" ht="33.75" hidden="1" customHeight="1" spans="1:26">
      <c r="A17" s="208">
        <f t="shared" si="2"/>
        <v>14</v>
      </c>
      <c r="B17" s="48" t="s">
        <v>3920</v>
      </c>
      <c r="C17" s="49" t="s">
        <v>101</v>
      </c>
      <c r="D17" s="50" t="s">
        <v>3954</v>
      </c>
      <c r="E17" s="50" t="s">
        <v>3955</v>
      </c>
      <c r="F17" s="52">
        <v>46036</v>
      </c>
      <c r="G17" s="56">
        <v>46164</v>
      </c>
      <c r="H17" s="56">
        <v>46164</v>
      </c>
      <c r="I17" s="53">
        <v>46091</v>
      </c>
      <c r="J17" s="304">
        <v>3480</v>
      </c>
      <c r="K17" s="175">
        <v>12</v>
      </c>
      <c r="L17" s="175">
        <f t="shared" si="0"/>
        <v>1740</v>
      </c>
      <c r="M17" s="175">
        <f t="shared" si="1"/>
        <v>1740</v>
      </c>
      <c r="N17" s="48" t="s">
        <v>3923</v>
      </c>
      <c r="O17" s="49" t="s">
        <v>81</v>
      </c>
      <c r="P17" s="211" t="s">
        <v>138</v>
      </c>
      <c r="Q17" s="48" t="s">
        <v>1744</v>
      </c>
      <c r="R17" s="305" t="s">
        <v>138</v>
      </c>
      <c r="S17" s="305" t="s">
        <v>3924</v>
      </c>
      <c r="T17" s="48" t="s">
        <v>3207</v>
      </c>
      <c r="U17" s="176">
        <v>46162</v>
      </c>
      <c r="V17" s="176">
        <v>46156</v>
      </c>
      <c r="W17" s="211" t="s">
        <v>3926</v>
      </c>
      <c r="X17" s="176">
        <v>46171</v>
      </c>
      <c r="Y17" s="37">
        <v>3105005</v>
      </c>
      <c r="Z17" s="159" t="s">
        <v>3927</v>
      </c>
    </row>
    <row r="18" s="3" customFormat="1" ht="33.75" hidden="1" customHeight="1" spans="1:26">
      <c r="A18" s="208">
        <f t="shared" si="2"/>
        <v>15</v>
      </c>
      <c r="B18" s="48" t="s">
        <v>3920</v>
      </c>
      <c r="C18" s="49" t="s">
        <v>101</v>
      </c>
      <c r="D18" s="50" t="s">
        <v>3956</v>
      </c>
      <c r="E18" s="50" t="s">
        <v>3957</v>
      </c>
      <c r="F18" s="52">
        <v>46036</v>
      </c>
      <c r="G18" s="56">
        <v>46164</v>
      </c>
      <c r="H18" s="56">
        <v>46164</v>
      </c>
      <c r="I18" s="53">
        <v>46091</v>
      </c>
      <c r="J18" s="304">
        <v>7032</v>
      </c>
      <c r="K18" s="175">
        <v>12</v>
      </c>
      <c r="L18" s="175">
        <f t="shared" si="0"/>
        <v>3516</v>
      </c>
      <c r="M18" s="175">
        <f t="shared" si="1"/>
        <v>3516</v>
      </c>
      <c r="N18" s="48" t="s">
        <v>3923</v>
      </c>
      <c r="O18" s="49" t="s">
        <v>81</v>
      </c>
      <c r="P18" s="211" t="s">
        <v>138</v>
      </c>
      <c r="Q18" s="48" t="s">
        <v>1744</v>
      </c>
      <c r="R18" s="305" t="s">
        <v>138</v>
      </c>
      <c r="S18" s="305" t="s">
        <v>3924</v>
      </c>
      <c r="T18" s="48" t="s">
        <v>3207</v>
      </c>
      <c r="U18" s="176">
        <v>46162</v>
      </c>
      <c r="V18" s="176">
        <v>46156</v>
      </c>
      <c r="W18" s="211" t="s">
        <v>3926</v>
      </c>
      <c r="X18" s="176">
        <v>46171</v>
      </c>
      <c r="Y18" s="37">
        <v>1183122</v>
      </c>
      <c r="Z18" s="159" t="s">
        <v>3927</v>
      </c>
    </row>
    <row r="19" s="3" customFormat="1" ht="33.75" hidden="1" customHeight="1" spans="1:26">
      <c r="A19" s="208">
        <f t="shared" si="2"/>
        <v>16</v>
      </c>
      <c r="B19" s="48" t="s">
        <v>3920</v>
      </c>
      <c r="C19" s="49" t="s">
        <v>101</v>
      </c>
      <c r="D19" s="50" t="s">
        <v>3958</v>
      </c>
      <c r="E19" s="50" t="s">
        <v>3959</v>
      </c>
      <c r="F19" s="52">
        <v>46036</v>
      </c>
      <c r="G19" s="306">
        <v>46170</v>
      </c>
      <c r="H19" s="306">
        <v>46170</v>
      </c>
      <c r="I19" s="53">
        <v>46091</v>
      </c>
      <c r="J19" s="307">
        <v>7656</v>
      </c>
      <c r="K19" s="175">
        <v>12</v>
      </c>
      <c r="L19" s="175">
        <f t="shared" si="0"/>
        <v>3828</v>
      </c>
      <c r="M19" s="175">
        <f t="shared" si="1"/>
        <v>3828</v>
      </c>
      <c r="N19" s="48" t="s">
        <v>3923</v>
      </c>
      <c r="O19" s="49" t="s">
        <v>81</v>
      </c>
      <c r="P19" s="211" t="s">
        <v>138</v>
      </c>
      <c r="Q19" s="48" t="s">
        <v>1744</v>
      </c>
      <c r="R19" s="305" t="s">
        <v>138</v>
      </c>
      <c r="S19" s="305" t="s">
        <v>3924</v>
      </c>
      <c r="T19" s="48" t="s">
        <v>3207</v>
      </c>
      <c r="U19" s="176">
        <v>46170</v>
      </c>
      <c r="V19" s="176">
        <v>46170</v>
      </c>
      <c r="W19" s="308"/>
      <c r="X19" s="176">
        <v>46171</v>
      </c>
      <c r="Y19" s="309">
        <v>8188486</v>
      </c>
      <c r="Z19" s="159" t="s">
        <v>3927</v>
      </c>
    </row>
    <row r="20" s="3" customFormat="1" ht="27" customHeight="1" spans="1:26">
      <c r="A20" s="215"/>
      <c r="B20" s="183"/>
      <c r="C20" s="96"/>
      <c r="D20" s="216"/>
      <c r="E20" s="216"/>
      <c r="F20" s="217"/>
      <c r="G20" s="217"/>
      <c r="H20" s="217"/>
      <c r="I20" s="218"/>
      <c r="J20" s="95"/>
      <c r="K20" s="95"/>
      <c r="L20" s="277"/>
      <c r="M20" s="277"/>
      <c r="N20" s="219"/>
      <c r="O20" s="96"/>
      <c r="P20" s="279"/>
      <c r="Q20" s="183"/>
      <c r="R20" s="183"/>
      <c r="S20" s="183"/>
      <c r="T20" s="183"/>
      <c r="U20" s="97"/>
      <c r="V20" s="310"/>
      <c r="W20" s="97"/>
      <c r="X20" s="97"/>
      <c r="Y20" s="178"/>
      <c r="Z20" s="159"/>
    </row>
    <row r="21" s="3" customFormat="1" ht="17.1" customHeight="1" spans="1:26">
      <c r="A21" s="93" t="s">
        <v>66</v>
      </c>
      <c r="B21" s="94"/>
      <c r="C21" s="94"/>
      <c r="D21" s="94"/>
      <c r="E21" s="94"/>
      <c r="F21" s="94"/>
      <c r="G21" s="94"/>
      <c r="H21" s="94"/>
      <c r="I21" s="94"/>
      <c r="J21" s="95">
        <f>SUM(J4:J20)</f>
        <v>67440</v>
      </c>
      <c r="K21" s="95"/>
      <c r="L21" s="95">
        <f>SUM(L4:L20)</f>
        <v>33720</v>
      </c>
      <c r="M21" s="95">
        <f>SUM(M4:M20)</f>
        <v>33720</v>
      </c>
      <c r="N21" s="95"/>
      <c r="O21" s="96"/>
      <c r="P21" s="96"/>
      <c r="Q21" s="96"/>
      <c r="R21" s="96"/>
      <c r="S21" s="96"/>
      <c r="T21" s="96"/>
      <c r="U21" s="97"/>
      <c r="V21" s="97"/>
      <c r="W21" s="97"/>
      <c r="X21" s="97"/>
      <c r="Y21" s="98"/>
      <c r="Z21" s="159"/>
    </row>
    <row r="22" s="4" customFormat="1" ht="17.1" customHeight="1" spans="1:26">
      <c r="A22" s="99"/>
      <c r="B22" s="100"/>
      <c r="C22" s="100"/>
      <c r="D22" s="100"/>
      <c r="E22" s="100"/>
      <c r="F22" s="100"/>
      <c r="G22" s="100"/>
      <c r="H22" s="100"/>
      <c r="I22" s="100"/>
      <c r="J22" s="133">
        <f>SUM(L22:M22)</f>
        <v>67500</v>
      </c>
      <c r="K22" s="100"/>
      <c r="L22" s="147">
        <f>33750</f>
        <v>33750</v>
      </c>
      <c r="M22" s="147">
        <f>33750</f>
        <v>33750</v>
      </c>
      <c r="N22" s="147"/>
      <c r="O22" s="100"/>
      <c r="P22" s="100"/>
      <c r="Q22" s="100"/>
      <c r="R22" s="100"/>
      <c r="S22" s="100"/>
      <c r="T22" s="100"/>
      <c r="U22" s="100"/>
      <c r="V22" s="101"/>
      <c r="W22" s="101"/>
      <c r="X22" s="101"/>
      <c r="Y22" s="102"/>
      <c r="Z22" s="295"/>
    </row>
    <row r="23" s="4" customFormat="1" ht="17.1" customHeight="1" spans="1:26">
      <c r="A23" s="241" t="s">
        <v>67</v>
      </c>
      <c r="B23" s="242"/>
      <c r="C23" s="242"/>
      <c r="D23" s="242"/>
      <c r="E23" s="242"/>
      <c r="F23" s="242"/>
      <c r="G23" s="242"/>
      <c r="H23" s="242"/>
      <c r="I23" s="243"/>
      <c r="J23" s="244">
        <f>SUM(L23:M23)</f>
        <v>60</v>
      </c>
      <c r="K23" s="245"/>
      <c r="L23" s="106">
        <f>L22-L21</f>
        <v>30</v>
      </c>
      <c r="M23" s="106">
        <f>M22-M21</f>
        <v>30</v>
      </c>
      <c r="N23" s="106"/>
      <c r="O23" s="106"/>
      <c r="P23" s="106"/>
      <c r="Q23" s="106"/>
      <c r="R23" s="106"/>
      <c r="S23" s="106"/>
      <c r="T23" s="106"/>
      <c r="U23" s="107"/>
      <c r="V23" s="108"/>
      <c r="W23" s="108"/>
      <c r="X23" s="108"/>
      <c r="Y23" s="109"/>
      <c r="Z23" s="295"/>
    </row>
    <row r="24" spans="1:26">
      <c r="B24" s="110" t="s">
        <v>68</v>
      </c>
      <c r="C24" s="110"/>
      <c r="D24" s="111"/>
      <c r="E24" s="111"/>
      <c r="F24" s="111"/>
      <c r="G24" s="111"/>
      <c r="H24" s="111"/>
      <c r="I24" s="111"/>
    </row>
    <row r="28" spans="1:26">
      <c r="B28" s="286" t="s">
        <v>3895</v>
      </c>
      <c r="I28" s="193"/>
      <c r="J28" s="193"/>
      <c r="K28" s="193"/>
    </row>
    <row r="29" spans="1:26">
      <c r="B29" s="286" t="s">
        <v>3896</v>
      </c>
      <c r="I29" s="193"/>
      <c r="J29" s="193"/>
      <c r="K29" s="193"/>
    </row>
  </sheetData>
  <autoFilter xmlns:etc="http://www.wps.cn/officeDocument/2017/etCustomData" ref="A2:AA19" etc:filterBottomFollowUsedRange="0">
    <filterColumn colId="23">
      <customFilters>
        <customFilter operator="equal" val="是否出货"/>
      </customFilters>
    </filterColumn>
    <extLst/>
  </autoFilter>
  <mergeCells count="32">
    <mergeCell ref="A1:T1"/>
    <mergeCell ref="V1:W1"/>
    <mergeCell ref="X1:Y1"/>
    <mergeCell ref="L2:M2"/>
    <mergeCell ref="A21:I21"/>
    <mergeCell ref="A22:I22"/>
    <mergeCell ref="A23:I23"/>
    <mergeCell ref="I28:K28"/>
    <mergeCell ref="I29:K2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</mergeCells>
  <conditionalFormatting sqref="L23:T23">
    <cfRule type="cellIs" dxfId="0" priority="1" operator="lessThan">
      <formula>0</formula>
    </cfRule>
  </conditionalFormatting>
  <printOptions horizontalCentered="1"/>
  <pageMargins left="0.196850393700787" right="0.196850393700787" top="0.354330708661417" bottom="0.354330708661417" header="0.31496062992126" footer="0.31496062992126"/>
  <pageSetup paperSize="9" scale="65" orientation="landscape"/>
  <headerFooter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FF"/>
    <pageSetUpPr fitToPage="1"/>
  </sheetPr>
  <dimension ref="A1:AH23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Y22" sqref="Y22"/>
    </sheetView>
  </sheetViews>
  <sheetFormatPr defaultColWidth="9" defaultRowHeight="14.25"/>
  <cols>
    <col min="1" max="1" width="3.125" customWidth="1"/>
    <col min="2" max="2" width="10" customWidth="1"/>
    <col min="3" max="3" width="7.125" customWidth="1"/>
    <col min="4" max="4" width="11.125" customWidth="1"/>
    <col min="5" max="5" width="9" customWidth="1"/>
    <col min="6" max="9" width="5.125" customWidth="1"/>
    <col min="10" max="10" width="7.125" customWidth="1"/>
    <col min="11" max="11" width="5.125" customWidth="1"/>
    <col min="12" max="20" width="6.125" customWidth="1"/>
    <col min="21" max="21" width="8.375" customWidth="1"/>
    <col min="22" max="22" width="4.375" customWidth="1"/>
    <col min="23" max="24" width="6.625" customWidth="1"/>
    <col min="25" max="25" width="6.125" customWidth="1"/>
    <col min="26" max="26" width="8.375" customWidth="1"/>
    <col min="27" max="27" width="21.125" customWidth="1"/>
    <col min="28" max="28" width="9.125" style="114" customWidth="1"/>
    <col min="29" max="31" width="9.375" style="113" customWidth="1"/>
    <col min="32" max="32" width="16.25" style="194" customWidth="1"/>
    <col min="33" max="33" width="21" style="255" customWidth="1"/>
  </cols>
  <sheetData>
    <row r="1" ht="45" customHeight="1" spans="1:34">
      <c r="A1" s="256" t="s">
        <v>3960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8"/>
      <c r="AC1" s="289" t="s">
        <v>1</v>
      </c>
      <c r="AD1" s="289">
        <f ca="1">TODAY()</f>
        <v>46277</v>
      </c>
      <c r="AE1" s="200">
        <f ca="1">TODAY()</f>
        <v>46277</v>
      </c>
      <c r="AF1" s="201"/>
    </row>
    <row r="2" s="190" customFormat="1" ht="21.95" customHeight="1" spans="1:34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290" t="s">
        <v>13</v>
      </c>
      <c r="M2" s="291"/>
      <c r="N2" s="291"/>
      <c r="O2" s="291"/>
      <c r="P2" s="291"/>
      <c r="Q2" s="291"/>
      <c r="R2" s="291"/>
      <c r="S2" s="291"/>
      <c r="T2" s="291"/>
      <c r="U2" s="20" t="s">
        <v>14</v>
      </c>
      <c r="V2" s="22" t="s">
        <v>15</v>
      </c>
      <c r="W2" s="22" t="s">
        <v>1982</v>
      </c>
      <c r="X2" s="22" t="s">
        <v>18</v>
      </c>
      <c r="Y2" s="22" t="s">
        <v>19</v>
      </c>
      <c r="Z2" s="22" t="s">
        <v>20</v>
      </c>
      <c r="AA2" s="261" t="s">
        <v>21</v>
      </c>
      <c r="AB2" s="25" t="s">
        <v>22</v>
      </c>
      <c r="AC2" s="26" t="s">
        <v>23</v>
      </c>
      <c r="AD2" s="26" t="s">
        <v>24</v>
      </c>
      <c r="AE2" s="26" t="s">
        <v>25</v>
      </c>
      <c r="AF2" s="205" t="s">
        <v>26</v>
      </c>
      <c r="AG2" s="159" t="s">
        <v>65</v>
      </c>
      <c r="AH2" s="190" t="s">
        <v>2226</v>
      </c>
    </row>
    <row r="3" s="190" customFormat="1" ht="34.5" customHeight="1" spans="1:34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4" t="s">
        <v>1561</v>
      </c>
      <c r="M3" s="264" t="s">
        <v>1624</v>
      </c>
      <c r="N3" s="264" t="s">
        <v>1570</v>
      </c>
      <c r="O3" s="264" t="s">
        <v>1563</v>
      </c>
      <c r="P3" s="264" t="s">
        <v>1568</v>
      </c>
      <c r="Q3" s="264" t="s">
        <v>3961</v>
      </c>
      <c r="R3" s="292" t="s">
        <v>1573</v>
      </c>
      <c r="S3" s="264" t="s">
        <v>1569</v>
      </c>
      <c r="T3" s="264" t="s">
        <v>1618</v>
      </c>
      <c r="U3" s="31"/>
      <c r="V3" s="32"/>
      <c r="W3" s="32"/>
      <c r="X3" s="32"/>
      <c r="Y3" s="32"/>
      <c r="Z3" s="32"/>
      <c r="AA3" s="267"/>
      <c r="AB3" s="25"/>
      <c r="AC3" s="26"/>
      <c r="AD3" s="26"/>
      <c r="AE3" s="26"/>
      <c r="AF3" s="205"/>
      <c r="AG3" s="159"/>
    </row>
    <row r="4" s="3" customFormat="1" ht="36" customHeight="1" spans="1:34">
      <c r="A4" s="215">
        <f>ROW()-3</f>
        <v>1</v>
      </c>
      <c r="B4" s="183" t="s">
        <v>3866</v>
      </c>
      <c r="C4" s="96" t="s">
        <v>3155</v>
      </c>
      <c r="D4" s="216" t="s">
        <v>3962</v>
      </c>
      <c r="E4" s="293" t="s">
        <v>3963</v>
      </c>
      <c r="F4" s="217">
        <v>46188</v>
      </c>
      <c r="G4" s="217">
        <v>46288</v>
      </c>
      <c r="H4" s="217">
        <v>46288</v>
      </c>
      <c r="I4" s="218">
        <v>46211</v>
      </c>
      <c r="J4" s="294">
        <v>66024</v>
      </c>
      <c r="K4" s="95">
        <v>18</v>
      </c>
      <c r="L4" s="277">
        <f t="shared" ref="L4:T4" si="0">$J4/$K4*2</f>
        <v>7336</v>
      </c>
      <c r="M4" s="277">
        <f t="shared" si="0"/>
        <v>7336</v>
      </c>
      <c r="N4" s="277">
        <f t="shared" si="0"/>
        <v>7336</v>
      </c>
      <c r="O4" s="277">
        <f t="shared" si="0"/>
        <v>7336</v>
      </c>
      <c r="P4" s="277">
        <f t="shared" si="0"/>
        <v>7336</v>
      </c>
      <c r="Q4" s="277">
        <f t="shared" si="0"/>
        <v>7336</v>
      </c>
      <c r="R4" s="277">
        <f t="shared" si="0"/>
        <v>7336</v>
      </c>
      <c r="S4" s="277">
        <f t="shared" si="0"/>
        <v>7336</v>
      </c>
      <c r="T4" s="277">
        <f t="shared" si="0"/>
        <v>7336</v>
      </c>
      <c r="U4" s="278" t="s">
        <v>1659</v>
      </c>
      <c r="V4" s="96" t="s">
        <v>81</v>
      </c>
      <c r="W4" s="279" t="s">
        <v>2457</v>
      </c>
      <c r="X4" s="279" t="s">
        <v>2457</v>
      </c>
      <c r="Y4" s="297" t="s">
        <v>3964</v>
      </c>
      <c r="Z4" s="183" t="s">
        <v>1659</v>
      </c>
      <c r="AA4" s="183" t="s">
        <v>3965</v>
      </c>
      <c r="AB4" s="280">
        <v>46295</v>
      </c>
      <c r="AC4" s="222" t="s">
        <v>3966</v>
      </c>
      <c r="AD4" s="97"/>
      <c r="AE4" s="97"/>
      <c r="AF4" s="224" t="s">
        <v>3967</v>
      </c>
      <c r="AG4" s="3" t="s">
        <v>3968</v>
      </c>
      <c r="AH4" s="159" t="s">
        <v>3969</v>
      </c>
    </row>
    <row r="5" s="3" customFormat="1" ht="36" customHeight="1" spans="1:34">
      <c r="A5" s="215">
        <f>ROW()-3</f>
        <v>2</v>
      </c>
      <c r="B5" s="183" t="s">
        <v>3866</v>
      </c>
      <c r="C5" s="96" t="s">
        <v>124</v>
      </c>
      <c r="D5" s="216" t="s">
        <v>3970</v>
      </c>
      <c r="E5" s="216" t="s">
        <v>3971</v>
      </c>
      <c r="F5" s="217">
        <v>46226</v>
      </c>
      <c r="G5" s="217">
        <v>46308</v>
      </c>
      <c r="H5" s="217">
        <v>46308</v>
      </c>
      <c r="I5" s="218">
        <v>46244</v>
      </c>
      <c r="J5" s="294">
        <v>20016</v>
      </c>
      <c r="K5" s="95">
        <v>18</v>
      </c>
      <c r="L5" s="277">
        <f t="shared" ref="L5:T5" si="1">$J5/$K5*2</f>
        <v>2224</v>
      </c>
      <c r="M5" s="277">
        <f t="shared" si="1"/>
        <v>2224</v>
      </c>
      <c r="N5" s="277">
        <f t="shared" si="1"/>
        <v>2224</v>
      </c>
      <c r="O5" s="277">
        <f t="shared" si="1"/>
        <v>2224</v>
      </c>
      <c r="P5" s="277">
        <f t="shared" si="1"/>
        <v>2224</v>
      </c>
      <c r="Q5" s="277">
        <f t="shared" si="1"/>
        <v>2224</v>
      </c>
      <c r="R5" s="277">
        <f t="shared" si="1"/>
        <v>2224</v>
      </c>
      <c r="S5" s="277">
        <f t="shared" si="1"/>
        <v>2224</v>
      </c>
      <c r="T5" s="277">
        <f t="shared" si="1"/>
        <v>2224</v>
      </c>
      <c r="U5" s="278" t="s">
        <v>1659</v>
      </c>
      <c r="V5" s="96" t="s">
        <v>81</v>
      </c>
      <c r="W5" s="279" t="s">
        <v>2457</v>
      </c>
      <c r="X5" s="279" t="s">
        <v>2457</v>
      </c>
      <c r="Y5" s="297" t="s">
        <v>3964</v>
      </c>
      <c r="Z5" s="183" t="s">
        <v>1659</v>
      </c>
      <c r="AA5" s="183" t="s">
        <v>3965</v>
      </c>
      <c r="AB5" s="280">
        <v>46308</v>
      </c>
      <c r="AC5" s="222"/>
      <c r="AD5" s="97"/>
      <c r="AE5" s="97"/>
      <c r="AF5" s="224" t="s">
        <v>3972</v>
      </c>
      <c r="AG5" s="3" t="s">
        <v>3968</v>
      </c>
      <c r="AH5" s="3" t="s">
        <v>3235</v>
      </c>
    </row>
    <row r="6" s="3" customFormat="1" ht="27" customHeight="1" spans="1:34">
      <c r="A6" s="215">
        <f>ROW()-3</f>
        <v>3</v>
      </c>
      <c r="B6" s="183"/>
      <c r="C6" s="96"/>
      <c r="D6" s="216"/>
      <c r="E6" s="216"/>
      <c r="F6" s="217"/>
      <c r="G6" s="217"/>
      <c r="H6" s="217"/>
      <c r="I6" s="218"/>
      <c r="J6" s="282"/>
      <c r="K6" s="95"/>
      <c r="L6" s="277"/>
      <c r="M6" s="277"/>
      <c r="N6" s="277"/>
      <c r="O6" s="277"/>
      <c r="P6" s="277"/>
      <c r="Q6" s="277"/>
      <c r="R6" s="283"/>
      <c r="S6" s="277"/>
      <c r="T6" s="283"/>
      <c r="U6" s="278"/>
      <c r="V6" s="96"/>
      <c r="W6" s="279"/>
      <c r="X6" s="279"/>
      <c r="Y6" s="183"/>
      <c r="Z6" s="183"/>
      <c r="AA6" s="183"/>
      <c r="AB6" s="280"/>
      <c r="AC6" s="222"/>
      <c r="AD6" s="97"/>
      <c r="AE6" s="97"/>
      <c r="AF6" s="224"/>
    </row>
    <row r="7" s="3" customFormat="1" ht="27" customHeight="1" spans="1:34">
      <c r="A7" s="215">
        <f>ROW()-3</f>
        <v>4</v>
      </c>
      <c r="B7" s="183"/>
      <c r="C7" s="96"/>
      <c r="D7" s="216"/>
      <c r="E7" s="216"/>
      <c r="F7" s="217"/>
      <c r="G7" s="217"/>
      <c r="H7" s="217"/>
      <c r="I7" s="218"/>
      <c r="J7" s="282"/>
      <c r="K7" s="95"/>
      <c r="L7" s="277"/>
      <c r="M7" s="277"/>
      <c r="N7" s="277"/>
      <c r="O7" s="277"/>
      <c r="P7" s="277"/>
      <c r="Q7" s="277"/>
      <c r="R7" s="283"/>
      <c r="S7" s="277"/>
      <c r="T7" s="283"/>
      <c r="U7" s="278"/>
      <c r="V7" s="96"/>
      <c r="W7" s="279"/>
      <c r="X7" s="279"/>
      <c r="Y7" s="183"/>
      <c r="Z7" s="183"/>
      <c r="AA7" s="183"/>
      <c r="AB7" s="280"/>
      <c r="AC7" s="222"/>
      <c r="AD7" s="97"/>
      <c r="AE7" s="97"/>
      <c r="AF7" s="224"/>
    </row>
    <row r="8" s="3" customFormat="1" ht="27" customHeight="1" spans="1:34">
      <c r="A8" s="215">
        <f>ROW()-3</f>
        <v>5</v>
      </c>
      <c r="B8" s="183"/>
      <c r="C8" s="96"/>
      <c r="D8" s="216"/>
      <c r="E8" s="216"/>
      <c r="F8" s="217"/>
      <c r="G8" s="217"/>
      <c r="H8" s="217"/>
      <c r="I8" s="218"/>
      <c r="J8" s="282"/>
      <c r="K8" s="95"/>
      <c r="L8" s="277"/>
      <c r="M8" s="277"/>
      <c r="N8" s="277"/>
      <c r="O8" s="277"/>
      <c r="P8" s="277"/>
      <c r="Q8" s="277"/>
      <c r="R8" s="283"/>
      <c r="S8" s="277"/>
      <c r="T8" s="283"/>
      <c r="U8" s="278"/>
      <c r="V8" s="96"/>
      <c r="W8" s="279"/>
      <c r="X8" s="279"/>
      <c r="Y8" s="183"/>
      <c r="Z8" s="183"/>
      <c r="AA8" s="183"/>
      <c r="AB8" s="280"/>
      <c r="AC8" s="222"/>
      <c r="AD8" s="97"/>
      <c r="AE8" s="97"/>
      <c r="AF8" s="224"/>
    </row>
    <row r="9" s="3" customFormat="1" ht="17.1" customHeight="1" spans="1:34">
      <c r="A9" s="93" t="s">
        <v>66</v>
      </c>
      <c r="B9" s="94"/>
      <c r="C9" s="94"/>
      <c r="D9" s="94"/>
      <c r="E9" s="94"/>
      <c r="F9" s="94"/>
      <c r="G9" s="94"/>
      <c r="H9" s="94"/>
      <c r="I9" s="94"/>
      <c r="J9" s="95">
        <f>SUM(J4:J8)</f>
        <v>86040</v>
      </c>
      <c r="K9" s="95"/>
      <c r="L9" s="95">
        <f t="shared" ref="L9:T9" si="2">SUM(L4:L8)</f>
        <v>9560</v>
      </c>
      <c r="M9" s="95">
        <f t="shared" si="2"/>
        <v>9560</v>
      </c>
      <c r="N9" s="95">
        <f t="shared" si="2"/>
        <v>9560</v>
      </c>
      <c r="O9" s="95">
        <f t="shared" si="2"/>
        <v>9560</v>
      </c>
      <c r="P9" s="95">
        <f t="shared" si="2"/>
        <v>9560</v>
      </c>
      <c r="Q9" s="95">
        <f t="shared" si="2"/>
        <v>9560</v>
      </c>
      <c r="R9" s="95">
        <f t="shared" si="2"/>
        <v>9560</v>
      </c>
      <c r="S9" s="95">
        <f t="shared" si="2"/>
        <v>9560</v>
      </c>
      <c r="T9" s="95">
        <f t="shared" si="2"/>
        <v>9560</v>
      </c>
      <c r="U9" s="95"/>
      <c r="V9" s="95"/>
      <c r="W9" s="95"/>
      <c r="X9" s="95"/>
      <c r="Y9" s="95"/>
      <c r="Z9" s="95"/>
      <c r="AA9" s="95"/>
      <c r="AB9" s="95"/>
      <c r="AC9" s="95"/>
      <c r="AD9" s="97"/>
      <c r="AE9" s="97"/>
      <c r="AF9" s="239"/>
    </row>
    <row r="10" s="4" customFormat="1" ht="17.1" customHeight="1" spans="1:34">
      <c r="A10" s="99"/>
      <c r="B10" s="100"/>
      <c r="C10" s="100"/>
      <c r="D10" s="100"/>
      <c r="E10" s="100"/>
      <c r="F10" s="100"/>
      <c r="G10" s="100"/>
      <c r="H10" s="100"/>
      <c r="I10" s="100"/>
      <c r="J10" s="133">
        <f>SUM(M10:S10)</f>
        <v>66920</v>
      </c>
      <c r="K10" s="100"/>
      <c r="L10" s="284">
        <f t="shared" ref="L10:T10" si="3">4668+2668+2224</f>
        <v>9560</v>
      </c>
      <c r="M10" s="284">
        <f t="shared" si="3"/>
        <v>9560</v>
      </c>
      <c r="N10" s="284">
        <f t="shared" si="3"/>
        <v>9560</v>
      </c>
      <c r="O10" s="284">
        <f t="shared" si="3"/>
        <v>9560</v>
      </c>
      <c r="P10" s="284">
        <f t="shared" si="3"/>
        <v>9560</v>
      </c>
      <c r="Q10" s="284">
        <f t="shared" si="3"/>
        <v>9560</v>
      </c>
      <c r="R10" s="284">
        <f t="shared" si="3"/>
        <v>9560</v>
      </c>
      <c r="S10" s="284">
        <f t="shared" si="3"/>
        <v>9560</v>
      </c>
      <c r="T10" s="284">
        <f t="shared" si="3"/>
        <v>9560</v>
      </c>
      <c r="U10" s="100"/>
      <c r="V10" s="100"/>
      <c r="W10" s="100"/>
      <c r="X10" s="100"/>
      <c r="Y10" s="100"/>
      <c r="Z10" s="100"/>
      <c r="AA10" s="100"/>
      <c r="AB10" s="101"/>
      <c r="AC10" s="101"/>
      <c r="AD10" s="101"/>
      <c r="AE10" s="101"/>
      <c r="AF10" s="240"/>
    </row>
    <row r="11" s="4" customFormat="1" ht="17.1" customHeight="1" spans="1:34">
      <c r="A11" s="241" t="s">
        <v>67</v>
      </c>
      <c r="B11" s="242"/>
      <c r="C11" s="242"/>
      <c r="D11" s="242"/>
      <c r="E11" s="242"/>
      <c r="F11" s="242"/>
      <c r="G11" s="242"/>
      <c r="H11" s="242"/>
      <c r="I11" s="243"/>
      <c r="J11" s="244">
        <f>SUM(L11:T11)</f>
        <v>0</v>
      </c>
      <c r="K11" s="245"/>
      <c r="L11" s="106">
        <f t="shared" ref="L11:T11" si="4">L10-L9</f>
        <v>0</v>
      </c>
      <c r="M11" s="106">
        <f t="shared" si="4"/>
        <v>0</v>
      </c>
      <c r="N11" s="106">
        <f t="shared" si="4"/>
        <v>0</v>
      </c>
      <c r="O11" s="106">
        <f t="shared" si="4"/>
        <v>0</v>
      </c>
      <c r="P11" s="106">
        <f t="shared" si="4"/>
        <v>0</v>
      </c>
      <c r="Q11" s="106">
        <f t="shared" si="4"/>
        <v>0</v>
      </c>
      <c r="R11" s="106">
        <f t="shared" si="4"/>
        <v>0</v>
      </c>
      <c r="S11" s="106">
        <f t="shared" si="4"/>
        <v>0</v>
      </c>
      <c r="T11" s="106">
        <f t="shared" si="4"/>
        <v>0</v>
      </c>
      <c r="U11" s="107"/>
      <c r="V11" s="107"/>
      <c r="W11" s="107"/>
      <c r="X11" s="107"/>
      <c r="Y11" s="107"/>
      <c r="Z11" s="107"/>
      <c r="AA11" s="107"/>
      <c r="AB11" s="108"/>
      <c r="AC11" s="108"/>
      <c r="AD11" s="108"/>
      <c r="AE11" s="108"/>
      <c r="AF11" s="246"/>
    </row>
    <row r="12" spans="1:34">
      <c r="B12" s="110" t="s">
        <v>68</v>
      </c>
      <c r="C12" s="110"/>
      <c r="D12" s="111"/>
      <c r="E12" s="111"/>
      <c r="F12" s="111"/>
      <c r="G12" s="111"/>
      <c r="H12" s="111"/>
      <c r="I12" s="111"/>
      <c r="J12" s="285"/>
    </row>
    <row r="13" spans="1:34">
      <c r="Y13" s="296" t="s">
        <v>3973</v>
      </c>
      <c r="Z13" s="296"/>
    </row>
    <row r="15" spans="1:34">
      <c r="B15" s="286"/>
    </row>
    <row r="16" spans="1:34">
      <c r="B16" s="286"/>
    </row>
    <row r="17" spans="2:3">
      <c r="B17" s="286"/>
    </row>
    <row r="18" spans="2:3">
      <c r="B18" s="286"/>
    </row>
    <row r="21" spans="2:3">
      <c r="B21" s="287"/>
      <c r="C21" s="287"/>
    </row>
    <row r="22" spans="2:3">
      <c r="B22" s="287"/>
      <c r="C22" s="287"/>
    </row>
    <row r="23" spans="2:3">
      <c r="B23" s="287"/>
      <c r="C23" s="287"/>
    </row>
  </sheetData>
  <autoFilter xmlns:etc="http://www.wps.cn/officeDocument/2017/etCustomData" ref="A3:AG13" etc:filterBottomFollowUsedRange="0">
    <extLst/>
  </autoFilter>
  <mergeCells count="29">
    <mergeCell ref="A1:AB1"/>
    <mergeCell ref="AE1:AF1"/>
    <mergeCell ref="L2:T2"/>
    <mergeCell ref="A9:I9"/>
    <mergeCell ref="A10:I10"/>
    <mergeCell ref="A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</mergeCells>
  <conditionalFormatting sqref="L11:T11">
    <cfRule type="cellIs" dxfId="0" priority="1" operator="lessThan">
      <formula>0</formula>
    </cfRule>
  </conditionalFormatting>
  <printOptions horizontalCentered="1"/>
  <pageMargins left="0.118055555555556" right="0.118055555555556" top="0.15625" bottom="0.15625" header="0.313888888888889" footer="0.313888888888889"/>
  <pageSetup paperSize="9" scale="55" fitToHeight="3" orientation="landscape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FF"/>
    <pageSetUpPr fitToPage="1"/>
  </sheetPr>
  <dimension ref="A1:AH23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R17" sqref="R17"/>
    </sheetView>
  </sheetViews>
  <sheetFormatPr defaultColWidth="9" defaultRowHeight="14.25"/>
  <cols>
    <col min="1" max="1" width="3.125" customWidth="1"/>
    <col min="2" max="2" width="10.625" customWidth="1"/>
    <col min="3" max="3" width="7.125" customWidth="1"/>
    <col min="4" max="4" width="10.875" customWidth="1"/>
    <col min="5" max="5" width="9" customWidth="1"/>
    <col min="6" max="9" width="5.125" customWidth="1"/>
    <col min="10" max="10" width="7.125" customWidth="1"/>
    <col min="11" max="11" width="5.125" customWidth="1"/>
    <col min="12" max="20" width="6.125" customWidth="1"/>
    <col min="21" max="21" width="8.375" customWidth="1"/>
    <col min="22" max="22" width="4.375" customWidth="1"/>
    <col min="23" max="24" width="6.625" customWidth="1"/>
    <col min="25" max="25" width="6.125" customWidth="1"/>
    <col min="26" max="26" width="8.375" customWidth="1"/>
    <col min="27" max="27" width="21.125" customWidth="1"/>
    <col min="28" max="28" width="9.125" style="114" customWidth="1"/>
    <col min="29" max="31" width="9.75" style="113" customWidth="1"/>
    <col min="32" max="32" width="16.625" style="194" customWidth="1"/>
    <col min="33" max="33" width="17.625" style="255" customWidth="1"/>
    <col min="34" max="34" width="14" customWidth="1"/>
  </cols>
  <sheetData>
    <row r="1" ht="45" customHeight="1" spans="1:34">
      <c r="A1" s="256" t="s">
        <v>3974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8"/>
      <c r="AC1" s="289" t="s">
        <v>1</v>
      </c>
      <c r="AD1" s="289"/>
      <c r="AE1" s="200">
        <f ca="1">TODAY()</f>
        <v>46277</v>
      </c>
      <c r="AF1" s="201"/>
    </row>
    <row r="2" s="190" customFormat="1" ht="21.95" customHeight="1" spans="1:34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290" t="s">
        <v>13</v>
      </c>
      <c r="M2" s="291"/>
      <c r="N2" s="291"/>
      <c r="O2" s="291"/>
      <c r="P2" s="291"/>
      <c r="Q2" s="291"/>
      <c r="R2" s="291"/>
      <c r="S2" s="291"/>
      <c r="T2" s="291"/>
      <c r="U2" s="20" t="s">
        <v>14</v>
      </c>
      <c r="V2" s="22" t="s">
        <v>15</v>
      </c>
      <c r="W2" s="22" t="s">
        <v>1982</v>
      </c>
      <c r="X2" s="22" t="s">
        <v>18</v>
      </c>
      <c r="Y2" s="22" t="s">
        <v>19</v>
      </c>
      <c r="Z2" s="22" t="s">
        <v>20</v>
      </c>
      <c r="AA2" s="261" t="s">
        <v>21</v>
      </c>
      <c r="AB2" s="25" t="s">
        <v>22</v>
      </c>
      <c r="AC2" s="26" t="s">
        <v>23</v>
      </c>
      <c r="AD2" s="26" t="s">
        <v>24</v>
      </c>
      <c r="AE2" s="26" t="s">
        <v>25</v>
      </c>
      <c r="AF2" s="205" t="s">
        <v>26</v>
      </c>
      <c r="AG2" s="159" t="s">
        <v>65</v>
      </c>
      <c r="AH2" s="190" t="s">
        <v>2226</v>
      </c>
    </row>
    <row r="3" s="190" customFormat="1" ht="34.5" customHeight="1" spans="1:34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4" t="s">
        <v>1562</v>
      </c>
      <c r="M3" s="264" t="s">
        <v>3975</v>
      </c>
      <c r="N3" s="264" t="s">
        <v>1622</v>
      </c>
      <c r="O3" s="264" t="s">
        <v>1987</v>
      </c>
      <c r="P3" s="264" t="s">
        <v>1623</v>
      </c>
      <c r="Q3" s="264" t="s">
        <v>3976</v>
      </c>
      <c r="R3" s="292" t="s">
        <v>1567</v>
      </c>
      <c r="S3" s="264" t="s">
        <v>3977</v>
      </c>
      <c r="T3" s="264" t="s">
        <v>3978</v>
      </c>
      <c r="U3" s="31"/>
      <c r="V3" s="32"/>
      <c r="W3" s="32"/>
      <c r="X3" s="32"/>
      <c r="Y3" s="32"/>
      <c r="Z3" s="32"/>
      <c r="AA3" s="267"/>
      <c r="AB3" s="25"/>
      <c r="AC3" s="26"/>
      <c r="AD3" s="26"/>
      <c r="AE3" s="26"/>
      <c r="AF3" s="205"/>
      <c r="AG3" s="159"/>
    </row>
    <row r="4" s="3" customFormat="1" ht="36" customHeight="1" spans="1:34">
      <c r="A4" s="215">
        <f>ROW()-3</f>
        <v>1</v>
      </c>
      <c r="B4" s="183" t="s">
        <v>3866</v>
      </c>
      <c r="C4" s="96" t="s">
        <v>3155</v>
      </c>
      <c r="D4" s="216" t="s">
        <v>3962</v>
      </c>
      <c r="E4" s="293" t="s">
        <v>3963</v>
      </c>
      <c r="F4" s="217">
        <v>46188</v>
      </c>
      <c r="G4" s="217">
        <v>46288</v>
      </c>
      <c r="H4" s="217">
        <v>46288</v>
      </c>
      <c r="I4" s="218">
        <v>46211</v>
      </c>
      <c r="J4" s="294">
        <v>66024</v>
      </c>
      <c r="K4" s="95">
        <v>18</v>
      </c>
      <c r="L4" s="277">
        <f t="shared" ref="L4:T4" si="0">$J4/$K4*2</f>
        <v>7336</v>
      </c>
      <c r="M4" s="277">
        <f t="shared" si="0"/>
        <v>7336</v>
      </c>
      <c r="N4" s="277">
        <f t="shared" si="0"/>
        <v>7336</v>
      </c>
      <c r="O4" s="277">
        <f t="shared" si="0"/>
        <v>7336</v>
      </c>
      <c r="P4" s="277">
        <f t="shared" si="0"/>
        <v>7336</v>
      </c>
      <c r="Q4" s="277">
        <f t="shared" si="0"/>
        <v>7336</v>
      </c>
      <c r="R4" s="277">
        <f t="shared" si="0"/>
        <v>7336</v>
      </c>
      <c r="S4" s="277">
        <f t="shared" si="0"/>
        <v>7336</v>
      </c>
      <c r="T4" s="277">
        <f t="shared" si="0"/>
        <v>7336</v>
      </c>
      <c r="U4" s="278" t="s">
        <v>1659</v>
      </c>
      <c r="V4" s="96" t="s">
        <v>81</v>
      </c>
      <c r="W4" s="279" t="s">
        <v>2457</v>
      </c>
      <c r="X4" s="279" t="s">
        <v>2457</v>
      </c>
      <c r="Y4" s="183" t="s">
        <v>3964</v>
      </c>
      <c r="Z4" s="183" t="s">
        <v>1659</v>
      </c>
      <c r="AA4" s="183" t="s">
        <v>3965</v>
      </c>
      <c r="AB4" s="280">
        <v>46288</v>
      </c>
      <c r="AC4" s="222" t="s">
        <v>3966</v>
      </c>
      <c r="AD4" s="97"/>
      <c r="AE4" s="97"/>
      <c r="AF4" s="224" t="s">
        <v>3967</v>
      </c>
      <c r="AG4" s="3" t="s">
        <v>3979</v>
      </c>
      <c r="AH4" s="3" t="s">
        <v>3980</v>
      </c>
    </row>
    <row r="5" s="3" customFormat="1" ht="36" customHeight="1" spans="1:34">
      <c r="A5" s="215">
        <f>ROW()-3</f>
        <v>2</v>
      </c>
      <c r="B5" s="183" t="s">
        <v>3866</v>
      </c>
      <c r="C5" s="96" t="s">
        <v>124</v>
      </c>
      <c r="D5" s="216" t="s">
        <v>3970</v>
      </c>
      <c r="E5" s="216" t="s">
        <v>3971</v>
      </c>
      <c r="F5" s="217">
        <v>46226</v>
      </c>
      <c r="G5" s="217">
        <v>46308</v>
      </c>
      <c r="H5" s="217">
        <v>46308</v>
      </c>
      <c r="I5" s="218">
        <v>46244</v>
      </c>
      <c r="J5" s="294">
        <v>20016</v>
      </c>
      <c r="K5" s="95">
        <v>18</v>
      </c>
      <c r="L5" s="277">
        <f t="shared" ref="L5:T5" si="1">$J5/$K5*2</f>
        <v>2224</v>
      </c>
      <c r="M5" s="277">
        <f t="shared" si="1"/>
        <v>2224</v>
      </c>
      <c r="N5" s="277">
        <f t="shared" si="1"/>
        <v>2224</v>
      </c>
      <c r="O5" s="277">
        <f t="shared" si="1"/>
        <v>2224</v>
      </c>
      <c r="P5" s="277">
        <f t="shared" si="1"/>
        <v>2224</v>
      </c>
      <c r="Q5" s="277">
        <f t="shared" si="1"/>
        <v>2224</v>
      </c>
      <c r="R5" s="277">
        <f t="shared" si="1"/>
        <v>2224</v>
      </c>
      <c r="S5" s="277">
        <f t="shared" si="1"/>
        <v>2224</v>
      </c>
      <c r="T5" s="277">
        <f t="shared" si="1"/>
        <v>2224</v>
      </c>
      <c r="U5" s="278" t="s">
        <v>1659</v>
      </c>
      <c r="V5" s="96" t="s">
        <v>81</v>
      </c>
      <c r="W5" s="279" t="s">
        <v>2457</v>
      </c>
      <c r="X5" s="279" t="s">
        <v>2457</v>
      </c>
      <c r="Y5" s="183" t="s">
        <v>3964</v>
      </c>
      <c r="Z5" s="183" t="s">
        <v>1659</v>
      </c>
      <c r="AA5" s="183" t="s">
        <v>3965</v>
      </c>
      <c r="AB5" s="280">
        <v>46308</v>
      </c>
      <c r="AC5" s="222"/>
      <c r="AD5" s="97"/>
      <c r="AE5" s="97"/>
      <c r="AF5" s="224" t="s">
        <v>3972</v>
      </c>
      <c r="AG5" s="3" t="s">
        <v>3979</v>
      </c>
      <c r="AH5" s="3" t="s">
        <v>3235</v>
      </c>
    </row>
    <row r="6" s="3" customFormat="1" ht="27" customHeight="1" spans="1:34">
      <c r="A6" s="215">
        <f>ROW()-3</f>
        <v>3</v>
      </c>
      <c r="B6" s="183"/>
      <c r="C6" s="96"/>
      <c r="D6" s="216"/>
      <c r="E6" s="216"/>
      <c r="F6" s="217"/>
      <c r="G6" s="217"/>
      <c r="H6" s="217"/>
      <c r="I6" s="218"/>
      <c r="J6" s="282"/>
      <c r="K6" s="95"/>
      <c r="L6" s="277"/>
      <c r="M6" s="277"/>
      <c r="N6" s="277"/>
      <c r="O6" s="277"/>
      <c r="P6" s="277"/>
      <c r="Q6" s="277"/>
      <c r="R6" s="283"/>
      <c r="S6" s="277"/>
      <c r="T6" s="283"/>
      <c r="U6" s="278"/>
      <c r="V6" s="96"/>
      <c r="W6" s="279"/>
      <c r="X6" s="279"/>
      <c r="Y6" s="183"/>
      <c r="Z6" s="183"/>
      <c r="AA6" s="183"/>
      <c r="AB6" s="280"/>
      <c r="AC6" s="222"/>
      <c r="AD6" s="97"/>
      <c r="AE6" s="97"/>
      <c r="AF6" s="224"/>
    </row>
    <row r="7" s="3" customFormat="1" ht="27" customHeight="1" spans="1:34">
      <c r="A7" s="215">
        <f>ROW()-3</f>
        <v>4</v>
      </c>
      <c r="B7" s="183"/>
      <c r="C7" s="96"/>
      <c r="D7" s="216"/>
      <c r="E7" s="216"/>
      <c r="F7" s="217"/>
      <c r="G7" s="217"/>
      <c r="H7" s="217"/>
      <c r="I7" s="218"/>
      <c r="J7" s="282"/>
      <c r="K7" s="95"/>
      <c r="L7" s="277"/>
      <c r="M7" s="277"/>
      <c r="N7" s="277"/>
      <c r="O7" s="277"/>
      <c r="P7" s="277"/>
      <c r="Q7" s="277"/>
      <c r="R7" s="283"/>
      <c r="S7" s="277"/>
      <c r="T7" s="283"/>
      <c r="U7" s="278"/>
      <c r="V7" s="96"/>
      <c r="W7" s="279"/>
      <c r="X7" s="279"/>
      <c r="Y7" s="183"/>
      <c r="Z7" s="183"/>
      <c r="AA7" s="183"/>
      <c r="AB7" s="280"/>
      <c r="AC7" s="222"/>
      <c r="AD7" s="97"/>
      <c r="AE7" s="97"/>
      <c r="AF7" s="224"/>
    </row>
    <row r="8" s="3" customFormat="1" ht="27" customHeight="1" spans="1:34">
      <c r="A8" s="215">
        <f>ROW()-3</f>
        <v>5</v>
      </c>
      <c r="B8" s="183"/>
      <c r="C8" s="96"/>
      <c r="D8" s="216"/>
      <c r="E8" s="216"/>
      <c r="F8" s="217"/>
      <c r="G8" s="217"/>
      <c r="H8" s="217"/>
      <c r="I8" s="218"/>
      <c r="J8" s="282"/>
      <c r="K8" s="95"/>
      <c r="L8" s="277"/>
      <c r="M8" s="277"/>
      <c r="N8" s="277"/>
      <c r="O8" s="277"/>
      <c r="P8" s="277"/>
      <c r="Q8" s="277"/>
      <c r="R8" s="283"/>
      <c r="S8" s="277"/>
      <c r="T8" s="283"/>
      <c r="U8" s="278"/>
      <c r="V8" s="96"/>
      <c r="W8" s="279"/>
      <c r="X8" s="279"/>
      <c r="Y8" s="183"/>
      <c r="Z8" s="183"/>
      <c r="AA8" s="183"/>
      <c r="AB8" s="280"/>
      <c r="AC8" s="222"/>
      <c r="AD8" s="97"/>
      <c r="AE8" s="97"/>
      <c r="AF8" s="224"/>
    </row>
    <row r="9" s="3" customFormat="1" ht="17.1" customHeight="1" spans="1:34">
      <c r="A9" s="93" t="s">
        <v>66</v>
      </c>
      <c r="B9" s="94"/>
      <c r="C9" s="94"/>
      <c r="D9" s="94"/>
      <c r="E9" s="94"/>
      <c r="F9" s="94"/>
      <c r="G9" s="94"/>
      <c r="H9" s="94"/>
      <c r="I9" s="94"/>
      <c r="J9" s="95">
        <f t="shared" ref="J9:T9" si="2">SUM(J4:J8)</f>
        <v>86040</v>
      </c>
      <c r="K9" s="95"/>
      <c r="L9" s="95">
        <f t="shared" si="2"/>
        <v>9560</v>
      </c>
      <c r="M9" s="95">
        <f t="shared" si="2"/>
        <v>9560</v>
      </c>
      <c r="N9" s="95">
        <f t="shared" si="2"/>
        <v>9560</v>
      </c>
      <c r="O9" s="95">
        <f t="shared" si="2"/>
        <v>9560</v>
      </c>
      <c r="P9" s="95">
        <f t="shared" si="2"/>
        <v>9560</v>
      </c>
      <c r="Q9" s="95">
        <f t="shared" si="2"/>
        <v>9560</v>
      </c>
      <c r="R9" s="95">
        <f t="shared" si="2"/>
        <v>9560</v>
      </c>
      <c r="S9" s="95">
        <f t="shared" si="2"/>
        <v>9560</v>
      </c>
      <c r="T9" s="95">
        <f t="shared" si="2"/>
        <v>9560</v>
      </c>
      <c r="U9" s="95"/>
      <c r="V9" s="95"/>
      <c r="W9" s="95"/>
      <c r="X9" s="95"/>
      <c r="Y9" s="95"/>
      <c r="Z9" s="95"/>
      <c r="AA9" s="95"/>
      <c r="AB9" s="95"/>
      <c r="AC9" s="95"/>
      <c r="AD9" s="97"/>
      <c r="AE9" s="97"/>
      <c r="AF9" s="239"/>
    </row>
    <row r="10" s="4" customFormat="1" ht="17.1" customHeight="1" spans="1:34">
      <c r="A10" s="99"/>
      <c r="B10" s="100"/>
      <c r="C10" s="100"/>
      <c r="D10" s="100"/>
      <c r="E10" s="100"/>
      <c r="F10" s="100"/>
      <c r="G10" s="100"/>
      <c r="H10" s="100"/>
      <c r="I10" s="100"/>
      <c r="J10" s="133">
        <f>SUM(M10:S10)</f>
        <v>66920</v>
      </c>
      <c r="K10" s="100"/>
      <c r="L10" s="284">
        <f t="shared" ref="L10:T10" si="3">4668+2668+2224</f>
        <v>9560</v>
      </c>
      <c r="M10" s="284">
        <f t="shared" si="3"/>
        <v>9560</v>
      </c>
      <c r="N10" s="284">
        <f t="shared" si="3"/>
        <v>9560</v>
      </c>
      <c r="O10" s="284">
        <f t="shared" si="3"/>
        <v>9560</v>
      </c>
      <c r="P10" s="284">
        <f t="shared" si="3"/>
        <v>9560</v>
      </c>
      <c r="Q10" s="284">
        <f t="shared" si="3"/>
        <v>9560</v>
      </c>
      <c r="R10" s="284">
        <f t="shared" si="3"/>
        <v>9560</v>
      </c>
      <c r="S10" s="284">
        <f t="shared" si="3"/>
        <v>9560</v>
      </c>
      <c r="T10" s="284">
        <f t="shared" si="3"/>
        <v>9560</v>
      </c>
      <c r="U10" s="100"/>
      <c r="V10" s="100"/>
      <c r="W10" s="100"/>
      <c r="X10" s="100"/>
      <c r="Y10" s="100"/>
      <c r="Z10" s="100"/>
      <c r="AA10" s="100"/>
      <c r="AB10" s="101"/>
      <c r="AC10" s="101"/>
      <c r="AD10" s="101"/>
      <c r="AE10" s="101"/>
      <c r="AF10" s="240"/>
    </row>
    <row r="11" s="4" customFormat="1" ht="17.1" customHeight="1" spans="1:34">
      <c r="A11" s="241" t="s">
        <v>67</v>
      </c>
      <c r="B11" s="242"/>
      <c r="C11" s="242"/>
      <c r="D11" s="242"/>
      <c r="E11" s="242"/>
      <c r="F11" s="242"/>
      <c r="G11" s="242"/>
      <c r="H11" s="242"/>
      <c r="I11" s="243"/>
      <c r="J11" s="244">
        <f>SUM(L11:T11)</f>
        <v>0</v>
      </c>
      <c r="K11" s="245"/>
      <c r="L11" s="106">
        <f>M10-L9</f>
        <v>0</v>
      </c>
      <c r="M11" s="106">
        <f>M10-M9</f>
        <v>0</v>
      </c>
      <c r="N11" s="106">
        <f t="shared" ref="N11:T11" si="4">N10-N9</f>
        <v>0</v>
      </c>
      <c r="O11" s="106">
        <f t="shared" si="4"/>
        <v>0</v>
      </c>
      <c r="P11" s="106">
        <f t="shared" si="4"/>
        <v>0</v>
      </c>
      <c r="Q11" s="106">
        <f t="shared" si="4"/>
        <v>0</v>
      </c>
      <c r="R11" s="106">
        <f t="shared" si="4"/>
        <v>0</v>
      </c>
      <c r="S11" s="106">
        <f t="shared" si="4"/>
        <v>0</v>
      </c>
      <c r="T11" s="106">
        <f t="shared" si="4"/>
        <v>0</v>
      </c>
      <c r="U11" s="107"/>
      <c r="V11" s="107"/>
      <c r="W11" s="107"/>
      <c r="X11" s="107"/>
      <c r="Y11" s="107"/>
      <c r="Z11" s="107"/>
      <c r="AA11" s="107"/>
      <c r="AB11" s="108"/>
      <c r="AC11" s="108"/>
      <c r="AD11" s="108"/>
      <c r="AE11" s="108"/>
      <c r="AF11" s="246"/>
    </row>
    <row r="12" spans="1:34">
      <c r="B12" s="110" t="s">
        <v>68</v>
      </c>
      <c r="C12" s="110"/>
      <c r="D12" s="111"/>
      <c r="E12" s="111"/>
      <c r="F12" s="111"/>
      <c r="G12" s="111"/>
      <c r="H12" s="111"/>
      <c r="I12" s="111"/>
      <c r="J12" s="285"/>
    </row>
    <row r="14" spans="1:34">
      <c r="Y14" s="296" t="s">
        <v>3973</v>
      </c>
    </row>
    <row r="15" spans="1:34">
      <c r="B15" s="286"/>
    </row>
    <row r="16" spans="1:34">
      <c r="B16" s="286"/>
    </row>
    <row r="17" spans="2:3">
      <c r="B17" s="286"/>
    </row>
    <row r="18" spans="2:3">
      <c r="B18" s="286"/>
    </row>
    <row r="21" spans="2:3">
      <c r="B21" s="287"/>
      <c r="C21" s="287"/>
    </row>
    <row r="22" spans="2:3">
      <c r="B22" s="287"/>
      <c r="C22" s="287"/>
    </row>
    <row r="23" spans="2:3">
      <c r="B23" s="287"/>
      <c r="C23" s="287"/>
    </row>
  </sheetData>
  <autoFilter xmlns:etc="http://www.wps.cn/officeDocument/2017/etCustomData" ref="A3:AG12" etc:filterBottomFollowUsedRange="0">
    <extLst/>
  </autoFilter>
  <mergeCells count="29">
    <mergeCell ref="A1:AB1"/>
    <mergeCell ref="AE1:AF1"/>
    <mergeCell ref="L2:T2"/>
    <mergeCell ref="A9:I9"/>
    <mergeCell ref="A10:I10"/>
    <mergeCell ref="A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</mergeCells>
  <conditionalFormatting sqref="L11:T11">
    <cfRule type="cellIs" dxfId="0" priority="1" operator="lessThan">
      <formula>0</formula>
    </cfRule>
  </conditionalFormatting>
  <printOptions horizontalCentered="1"/>
  <pageMargins left="0.118055555555556" right="0.118055555555556" top="0.15625" bottom="0.15625" header="0.313888888888889" footer="0.313888888888889"/>
  <pageSetup paperSize="9" scale="55" fitToHeight="3" orientation="landscape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FF"/>
    <pageSetUpPr fitToPage="1"/>
  </sheetPr>
  <dimension ref="A1:AH23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O24" sqref="O24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4" width="11.125" customWidth="1"/>
    <col min="5" max="5" width="9.25" customWidth="1"/>
    <col min="6" max="9" width="5.125" customWidth="1"/>
    <col min="10" max="10" width="7.125" customWidth="1"/>
    <col min="11" max="11" width="5.125" customWidth="1"/>
    <col min="12" max="20" width="6.125" customWidth="1"/>
    <col min="21" max="21" width="8.375" customWidth="1"/>
    <col min="22" max="22" width="4.375" customWidth="1"/>
    <col min="23" max="24" width="6.625" customWidth="1"/>
    <col min="25" max="25" width="6.125" customWidth="1"/>
    <col min="26" max="26" width="7.875" customWidth="1"/>
    <col min="27" max="27" width="21.125" customWidth="1"/>
    <col min="28" max="28" width="9.125" style="114" customWidth="1"/>
    <col min="29" max="31" width="9.25" style="113" customWidth="1"/>
    <col min="32" max="32" width="18.625" style="194" customWidth="1"/>
    <col min="33" max="33" width="18.25" style="255" customWidth="1"/>
    <col min="34" max="34" width="12.125" style="288" customWidth="1"/>
  </cols>
  <sheetData>
    <row r="1" ht="45" customHeight="1" spans="1:34">
      <c r="A1" s="256" t="s">
        <v>3981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8"/>
      <c r="AC1" s="289" t="s">
        <v>1</v>
      </c>
      <c r="AD1" s="289"/>
      <c r="AE1" s="200">
        <f ca="1">TODAY()</f>
        <v>46277</v>
      </c>
      <c r="AF1" s="201"/>
    </row>
    <row r="2" s="190" customFormat="1" ht="21.95" customHeight="1" spans="1:34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290" t="s">
        <v>13</v>
      </c>
      <c r="M2" s="291"/>
      <c r="N2" s="291"/>
      <c r="O2" s="291"/>
      <c r="P2" s="291"/>
      <c r="Q2" s="291"/>
      <c r="R2" s="291"/>
      <c r="S2" s="291"/>
      <c r="T2" s="291"/>
      <c r="U2" s="20" t="s">
        <v>14</v>
      </c>
      <c r="V2" s="22" t="s">
        <v>15</v>
      </c>
      <c r="W2" s="22" t="s">
        <v>1982</v>
      </c>
      <c r="X2" s="22" t="s">
        <v>18</v>
      </c>
      <c r="Y2" s="22" t="s">
        <v>19</v>
      </c>
      <c r="Z2" s="22" t="s">
        <v>20</v>
      </c>
      <c r="AA2" s="261" t="s">
        <v>21</v>
      </c>
      <c r="AB2" s="25" t="s">
        <v>22</v>
      </c>
      <c r="AC2" s="26" t="s">
        <v>23</v>
      </c>
      <c r="AD2" s="26" t="s">
        <v>24</v>
      </c>
      <c r="AE2" s="26" t="s">
        <v>25</v>
      </c>
      <c r="AF2" s="205" t="s">
        <v>26</v>
      </c>
      <c r="AG2" s="159" t="s">
        <v>65</v>
      </c>
      <c r="AH2" s="190" t="s">
        <v>2226</v>
      </c>
    </row>
    <row r="3" s="190" customFormat="1" ht="34.5" customHeight="1" spans="1:34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4" t="s">
        <v>1616</v>
      </c>
      <c r="M3" s="264" t="s">
        <v>3982</v>
      </c>
      <c r="N3" s="264" t="s">
        <v>1614</v>
      </c>
      <c r="O3" s="264" t="s">
        <v>1572</v>
      </c>
      <c r="P3" s="264" t="s">
        <v>3983</v>
      </c>
      <c r="Q3" s="264" t="s">
        <v>1615</v>
      </c>
      <c r="R3" s="292" t="s">
        <v>2248</v>
      </c>
      <c r="S3" s="264" t="s">
        <v>2247</v>
      </c>
      <c r="T3" s="264" t="s">
        <v>2245</v>
      </c>
      <c r="U3" s="31"/>
      <c r="V3" s="32"/>
      <c r="W3" s="32"/>
      <c r="X3" s="32"/>
      <c r="Y3" s="32"/>
      <c r="Z3" s="32"/>
      <c r="AA3" s="267"/>
      <c r="AB3" s="25"/>
      <c r="AC3" s="26"/>
      <c r="AD3" s="26"/>
      <c r="AE3" s="26"/>
      <c r="AF3" s="205"/>
      <c r="AG3" s="159"/>
    </row>
    <row r="4" s="3" customFormat="1" ht="39.95" customHeight="1" spans="1:34">
      <c r="A4" s="215">
        <f>ROW()-3</f>
        <v>1</v>
      </c>
      <c r="B4" s="183" t="s">
        <v>3866</v>
      </c>
      <c r="C4" s="96" t="s">
        <v>3155</v>
      </c>
      <c r="D4" s="216" t="s">
        <v>3962</v>
      </c>
      <c r="E4" s="293" t="s">
        <v>3963</v>
      </c>
      <c r="F4" s="217">
        <v>46188</v>
      </c>
      <c r="G4" s="217">
        <v>46288</v>
      </c>
      <c r="H4" s="217">
        <v>46295</v>
      </c>
      <c r="I4" s="218">
        <v>46212</v>
      </c>
      <c r="J4" s="294">
        <v>66024</v>
      </c>
      <c r="K4" s="95">
        <v>18</v>
      </c>
      <c r="L4" s="277">
        <f t="shared" ref="L4:T4" si="0">$J4/$K4*2</f>
        <v>7336</v>
      </c>
      <c r="M4" s="277">
        <f t="shared" si="0"/>
        <v>7336</v>
      </c>
      <c r="N4" s="277">
        <f t="shared" si="0"/>
        <v>7336</v>
      </c>
      <c r="O4" s="277">
        <f t="shared" si="0"/>
        <v>7336</v>
      </c>
      <c r="P4" s="277">
        <f t="shared" si="0"/>
        <v>7336</v>
      </c>
      <c r="Q4" s="277">
        <f t="shared" si="0"/>
        <v>7336</v>
      </c>
      <c r="R4" s="277">
        <f t="shared" si="0"/>
        <v>7336</v>
      </c>
      <c r="S4" s="277">
        <f t="shared" si="0"/>
        <v>7336</v>
      </c>
      <c r="T4" s="277">
        <f t="shared" si="0"/>
        <v>7336</v>
      </c>
      <c r="U4" s="278" t="s">
        <v>1659</v>
      </c>
      <c r="V4" s="96" t="s">
        <v>81</v>
      </c>
      <c r="W4" s="279" t="s">
        <v>2457</v>
      </c>
      <c r="X4" s="279" t="s">
        <v>2457</v>
      </c>
      <c r="Y4" s="183" t="s">
        <v>3964</v>
      </c>
      <c r="Z4" s="183" t="s">
        <v>1659</v>
      </c>
      <c r="AA4" s="183" t="s">
        <v>3965</v>
      </c>
      <c r="AB4" s="280">
        <v>46295</v>
      </c>
      <c r="AC4" s="222" t="s">
        <v>3966</v>
      </c>
      <c r="AD4" s="97"/>
      <c r="AE4" s="97"/>
      <c r="AF4" s="224" t="s">
        <v>3967</v>
      </c>
      <c r="AG4" s="3" t="s">
        <v>3984</v>
      </c>
      <c r="AH4" s="159" t="s">
        <v>3980</v>
      </c>
    </row>
    <row r="5" s="3" customFormat="1" ht="39.95" customHeight="1" spans="1:34">
      <c r="A5" s="215">
        <f>ROW()-3</f>
        <v>2</v>
      </c>
      <c r="B5" s="183" t="s">
        <v>3866</v>
      </c>
      <c r="C5" s="96" t="s">
        <v>124</v>
      </c>
      <c r="D5" s="216" t="s">
        <v>3970</v>
      </c>
      <c r="E5" s="216" t="s">
        <v>3971</v>
      </c>
      <c r="F5" s="217">
        <v>46226</v>
      </c>
      <c r="G5" s="217">
        <v>46308</v>
      </c>
      <c r="H5" s="217">
        <v>46308</v>
      </c>
      <c r="I5" s="218">
        <v>46244</v>
      </c>
      <c r="J5" s="294">
        <v>20016</v>
      </c>
      <c r="K5" s="95">
        <v>18</v>
      </c>
      <c r="L5" s="277">
        <f t="shared" ref="L5:T5" si="1">$J5/$K5*2</f>
        <v>2224</v>
      </c>
      <c r="M5" s="277">
        <f t="shared" si="1"/>
        <v>2224</v>
      </c>
      <c r="N5" s="277">
        <f t="shared" si="1"/>
        <v>2224</v>
      </c>
      <c r="O5" s="277">
        <f t="shared" si="1"/>
        <v>2224</v>
      </c>
      <c r="P5" s="277">
        <f t="shared" si="1"/>
        <v>2224</v>
      </c>
      <c r="Q5" s="277">
        <f t="shared" si="1"/>
        <v>2224</v>
      </c>
      <c r="R5" s="277">
        <f t="shared" si="1"/>
        <v>2224</v>
      </c>
      <c r="S5" s="277">
        <f t="shared" si="1"/>
        <v>2224</v>
      </c>
      <c r="T5" s="277">
        <f t="shared" si="1"/>
        <v>2224</v>
      </c>
      <c r="U5" s="278" t="s">
        <v>1659</v>
      </c>
      <c r="V5" s="96" t="s">
        <v>81</v>
      </c>
      <c r="W5" s="279" t="s">
        <v>2457</v>
      </c>
      <c r="X5" s="279" t="s">
        <v>2457</v>
      </c>
      <c r="Y5" s="183" t="s">
        <v>3964</v>
      </c>
      <c r="Z5" s="183" t="s">
        <v>1659</v>
      </c>
      <c r="AA5" s="183" t="s">
        <v>3965</v>
      </c>
      <c r="AB5" s="280">
        <v>46308</v>
      </c>
      <c r="AC5" s="222"/>
      <c r="AD5" s="97"/>
      <c r="AE5" s="97"/>
      <c r="AF5" s="224" t="s">
        <v>3972</v>
      </c>
      <c r="AG5" s="3" t="s">
        <v>3984</v>
      </c>
      <c r="AH5" s="159" t="s">
        <v>3235</v>
      </c>
    </row>
    <row r="6" s="3" customFormat="1" ht="27" customHeight="1" spans="1:34">
      <c r="A6" s="215">
        <f>ROW()-3</f>
        <v>3</v>
      </c>
      <c r="B6" s="183"/>
      <c r="C6" s="96"/>
      <c r="D6" s="216"/>
      <c r="E6" s="216"/>
      <c r="F6" s="217"/>
      <c r="G6" s="217"/>
      <c r="H6" s="217"/>
      <c r="I6" s="218"/>
      <c r="J6" s="282"/>
      <c r="K6" s="95"/>
      <c r="L6" s="277"/>
      <c r="M6" s="277"/>
      <c r="N6" s="277"/>
      <c r="O6" s="277"/>
      <c r="P6" s="277"/>
      <c r="Q6" s="277"/>
      <c r="R6" s="283"/>
      <c r="S6" s="277"/>
      <c r="T6" s="283"/>
      <c r="U6" s="278"/>
      <c r="V6" s="96"/>
      <c r="W6" s="279"/>
      <c r="X6" s="279"/>
      <c r="Y6" s="183"/>
      <c r="Z6" s="183"/>
      <c r="AA6" s="183"/>
      <c r="AB6" s="280"/>
      <c r="AC6" s="222"/>
      <c r="AD6" s="97"/>
      <c r="AE6" s="97"/>
      <c r="AF6" s="224"/>
      <c r="AH6" s="159"/>
    </row>
    <row r="7" s="3" customFormat="1" ht="27" customHeight="1" spans="1:34">
      <c r="A7" s="215">
        <f>ROW()-3</f>
        <v>4</v>
      </c>
      <c r="B7" s="183"/>
      <c r="C7" s="96"/>
      <c r="D7" s="216"/>
      <c r="E7" s="216"/>
      <c r="F7" s="217"/>
      <c r="G7" s="217"/>
      <c r="H7" s="217"/>
      <c r="I7" s="218"/>
      <c r="J7" s="282"/>
      <c r="K7" s="95"/>
      <c r="L7" s="277"/>
      <c r="M7" s="277"/>
      <c r="N7" s="277"/>
      <c r="O7" s="277"/>
      <c r="P7" s="277"/>
      <c r="Q7" s="277"/>
      <c r="R7" s="283"/>
      <c r="S7" s="277"/>
      <c r="T7" s="283"/>
      <c r="U7" s="278"/>
      <c r="V7" s="96"/>
      <c r="W7" s="279"/>
      <c r="X7" s="279"/>
      <c r="Y7" s="183"/>
      <c r="Z7" s="183"/>
      <c r="AA7" s="183"/>
      <c r="AB7" s="280"/>
      <c r="AC7" s="222"/>
      <c r="AD7" s="97"/>
      <c r="AE7" s="97"/>
      <c r="AF7" s="224"/>
      <c r="AH7" s="159"/>
    </row>
    <row r="8" s="3" customFormat="1" ht="27" customHeight="1" spans="1:34">
      <c r="A8" s="215">
        <f>ROW()-3</f>
        <v>5</v>
      </c>
      <c r="B8" s="183"/>
      <c r="C8" s="96"/>
      <c r="D8" s="216"/>
      <c r="E8" s="216"/>
      <c r="F8" s="217"/>
      <c r="G8" s="217"/>
      <c r="H8" s="217"/>
      <c r="I8" s="218"/>
      <c r="J8" s="282"/>
      <c r="K8" s="95"/>
      <c r="L8" s="277"/>
      <c r="M8" s="277"/>
      <c r="N8" s="277"/>
      <c r="O8" s="277"/>
      <c r="P8" s="277"/>
      <c r="Q8" s="277"/>
      <c r="R8" s="283"/>
      <c r="S8" s="277"/>
      <c r="T8" s="283"/>
      <c r="U8" s="278"/>
      <c r="V8" s="96"/>
      <c r="W8" s="279"/>
      <c r="X8" s="279"/>
      <c r="Y8" s="183"/>
      <c r="Z8" s="183"/>
      <c r="AA8" s="183"/>
      <c r="AB8" s="280"/>
      <c r="AC8" s="222"/>
      <c r="AD8" s="97"/>
      <c r="AE8" s="97"/>
      <c r="AF8" s="224"/>
      <c r="AH8" s="159"/>
    </row>
    <row r="9" s="3" customFormat="1" ht="17.1" customHeight="1" spans="1:34">
      <c r="A9" s="93" t="s">
        <v>66</v>
      </c>
      <c r="B9" s="94"/>
      <c r="C9" s="94"/>
      <c r="D9" s="94"/>
      <c r="E9" s="94"/>
      <c r="F9" s="94"/>
      <c r="G9" s="94"/>
      <c r="H9" s="94"/>
      <c r="I9" s="94"/>
      <c r="J9" s="95">
        <f t="shared" ref="J9:T9" si="2">SUM(J4:J8)</f>
        <v>86040</v>
      </c>
      <c r="K9" s="95"/>
      <c r="L9" s="95">
        <f t="shared" si="2"/>
        <v>9560</v>
      </c>
      <c r="M9" s="95">
        <f t="shared" si="2"/>
        <v>9560</v>
      </c>
      <c r="N9" s="95">
        <f t="shared" si="2"/>
        <v>9560</v>
      </c>
      <c r="O9" s="95">
        <f t="shared" si="2"/>
        <v>9560</v>
      </c>
      <c r="P9" s="95">
        <f t="shared" si="2"/>
        <v>9560</v>
      </c>
      <c r="Q9" s="95">
        <f t="shared" si="2"/>
        <v>9560</v>
      </c>
      <c r="R9" s="95">
        <f t="shared" si="2"/>
        <v>9560</v>
      </c>
      <c r="S9" s="95">
        <f t="shared" si="2"/>
        <v>9560</v>
      </c>
      <c r="T9" s="95">
        <f t="shared" si="2"/>
        <v>9560</v>
      </c>
      <c r="U9" s="95"/>
      <c r="V9" s="95"/>
      <c r="W9" s="95"/>
      <c r="X9" s="95"/>
      <c r="Y9" s="95"/>
      <c r="Z9" s="95"/>
      <c r="AA9" s="95"/>
      <c r="AB9" s="95"/>
      <c r="AC9" s="95"/>
      <c r="AD9" s="97"/>
      <c r="AE9" s="97"/>
      <c r="AF9" s="239"/>
      <c r="AH9" s="159"/>
    </row>
    <row r="10" s="4" customFormat="1" ht="17.1" customHeight="1" spans="1:34">
      <c r="A10" s="99"/>
      <c r="B10" s="100"/>
      <c r="C10" s="100"/>
      <c r="D10" s="100"/>
      <c r="E10" s="100"/>
      <c r="F10" s="100"/>
      <c r="G10" s="100"/>
      <c r="H10" s="100"/>
      <c r="I10" s="100"/>
      <c r="J10" s="133">
        <f>SUM(M10:S10)</f>
        <v>66920</v>
      </c>
      <c r="K10" s="100"/>
      <c r="L10" s="284">
        <f t="shared" ref="L10:T10" si="3">4668+2668+2224</f>
        <v>9560</v>
      </c>
      <c r="M10" s="284">
        <f t="shared" si="3"/>
        <v>9560</v>
      </c>
      <c r="N10" s="284">
        <f t="shared" si="3"/>
        <v>9560</v>
      </c>
      <c r="O10" s="284">
        <f t="shared" si="3"/>
        <v>9560</v>
      </c>
      <c r="P10" s="284">
        <f t="shared" si="3"/>
        <v>9560</v>
      </c>
      <c r="Q10" s="284">
        <f t="shared" si="3"/>
        <v>9560</v>
      </c>
      <c r="R10" s="284">
        <f t="shared" si="3"/>
        <v>9560</v>
      </c>
      <c r="S10" s="284">
        <f t="shared" si="3"/>
        <v>9560</v>
      </c>
      <c r="T10" s="284">
        <f t="shared" si="3"/>
        <v>9560</v>
      </c>
      <c r="U10" s="100"/>
      <c r="V10" s="100"/>
      <c r="W10" s="100"/>
      <c r="X10" s="100"/>
      <c r="Y10" s="100"/>
      <c r="Z10" s="100"/>
      <c r="AA10" s="100"/>
      <c r="AB10" s="101"/>
      <c r="AC10" s="101"/>
      <c r="AD10" s="101"/>
      <c r="AE10" s="101"/>
      <c r="AF10" s="240"/>
      <c r="AH10" s="295"/>
    </row>
    <row r="11" s="4" customFormat="1" ht="17.1" customHeight="1" spans="1:34">
      <c r="A11" s="241" t="s">
        <v>67</v>
      </c>
      <c r="B11" s="242"/>
      <c r="C11" s="242"/>
      <c r="D11" s="242"/>
      <c r="E11" s="242"/>
      <c r="F11" s="242"/>
      <c r="G11" s="242"/>
      <c r="H11" s="242"/>
      <c r="I11" s="243"/>
      <c r="J11" s="244">
        <f>SUM(L11:T11)</f>
        <v>0</v>
      </c>
      <c r="K11" s="245"/>
      <c r="L11" s="106">
        <f t="shared" ref="L11:T11" si="4">L10-L9</f>
        <v>0</v>
      </c>
      <c r="M11" s="106">
        <f t="shared" si="4"/>
        <v>0</v>
      </c>
      <c r="N11" s="106">
        <f t="shared" si="4"/>
        <v>0</v>
      </c>
      <c r="O11" s="106">
        <f t="shared" si="4"/>
        <v>0</v>
      </c>
      <c r="P11" s="106">
        <f t="shared" si="4"/>
        <v>0</v>
      </c>
      <c r="Q11" s="106">
        <f t="shared" si="4"/>
        <v>0</v>
      </c>
      <c r="R11" s="106">
        <f t="shared" si="4"/>
        <v>0</v>
      </c>
      <c r="S11" s="106">
        <f t="shared" si="4"/>
        <v>0</v>
      </c>
      <c r="T11" s="106">
        <f t="shared" si="4"/>
        <v>0</v>
      </c>
      <c r="U11" s="107"/>
      <c r="V11" s="107"/>
      <c r="W11" s="107"/>
      <c r="X11" s="107"/>
      <c r="Y11" s="107"/>
      <c r="Z11" s="107"/>
      <c r="AA11" s="107"/>
      <c r="AB11" s="108"/>
      <c r="AC11" s="108"/>
      <c r="AD11" s="108"/>
      <c r="AE11" s="108"/>
      <c r="AF11" s="246"/>
      <c r="AH11" s="295"/>
    </row>
    <row r="12" spans="1:34">
      <c r="B12" s="110" t="s">
        <v>68</v>
      </c>
      <c r="C12" s="110"/>
      <c r="D12" s="111"/>
      <c r="E12" s="111"/>
      <c r="F12" s="111"/>
      <c r="G12" s="111"/>
      <c r="H12" s="111"/>
      <c r="I12" s="111"/>
      <c r="J12" s="285"/>
    </row>
    <row r="15" spans="1:34">
      <c r="B15" s="286"/>
      <c r="Y15" s="296" t="s">
        <v>3973</v>
      </c>
    </row>
    <row r="16" spans="1:34">
      <c r="B16" s="286"/>
    </row>
    <row r="17" spans="2:3">
      <c r="B17" s="286"/>
    </row>
    <row r="18" spans="2:3">
      <c r="B18" s="286"/>
    </row>
    <row r="21" spans="2:3">
      <c r="B21" s="287"/>
      <c r="C21" s="287"/>
    </row>
    <row r="22" spans="2:3">
      <c r="B22" s="287"/>
      <c r="C22" s="287"/>
    </row>
    <row r="23" spans="2:3">
      <c r="B23" s="287"/>
      <c r="C23" s="287"/>
    </row>
  </sheetData>
  <autoFilter xmlns:etc="http://www.wps.cn/officeDocument/2017/etCustomData" ref="A3:AG12" etc:filterBottomFollowUsedRange="0">
    <extLst/>
  </autoFilter>
  <mergeCells count="29">
    <mergeCell ref="A1:AB1"/>
    <mergeCell ref="AE1:AF1"/>
    <mergeCell ref="L2:T2"/>
    <mergeCell ref="A9:I9"/>
    <mergeCell ref="A10:I10"/>
    <mergeCell ref="A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</mergeCells>
  <conditionalFormatting sqref="L11:T11">
    <cfRule type="cellIs" dxfId="0" priority="1" operator="lessThan">
      <formula>0</formula>
    </cfRule>
  </conditionalFormatting>
  <printOptions horizontalCentered="1"/>
  <pageMargins left="0.118055555555556" right="0.118055555555556" top="0.15625" bottom="0.15625" header="0.313888888888889" footer="0.313888888888889"/>
  <pageSetup paperSize="9" scale="55" fitToHeight="3" orientation="landscape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AN21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H8" sqref="H8"/>
    </sheetView>
  </sheetViews>
  <sheetFormatPr defaultColWidth="9" defaultRowHeight="14.25"/>
  <cols>
    <col min="1" max="1" width="3.125" customWidth="1"/>
    <col min="2" max="2" width="9.125" customWidth="1"/>
    <col min="3" max="3" width="7.125" customWidth="1"/>
    <col min="4" max="4" width="11.125" customWidth="1"/>
    <col min="5" max="5" width="9.25" customWidth="1"/>
    <col min="6" max="9" width="5.125" customWidth="1"/>
    <col min="10" max="10" width="7.125" customWidth="1"/>
    <col min="11" max="11" width="5.125" customWidth="1"/>
    <col min="12" max="26" width="6.125" customWidth="1"/>
    <col min="27" max="27" width="8.375" customWidth="1"/>
    <col min="28" max="28" width="4.375" customWidth="1"/>
    <col min="29" max="30" width="6.625" customWidth="1"/>
    <col min="31" max="31" width="6.125" customWidth="1"/>
    <col min="32" max="32" width="7.875" customWidth="1"/>
    <col min="33" max="33" width="21.125" customWidth="1"/>
    <col min="34" max="34" width="9.125" style="114" customWidth="1"/>
    <col min="35" max="37" width="9.25" style="113" customWidth="1"/>
    <col min="38" max="38" width="18.625" style="194" customWidth="1"/>
    <col min="39" max="39" width="18.25" style="255" customWidth="1"/>
  </cols>
  <sheetData>
    <row r="1" ht="45" customHeight="1" spans="1:40">
      <c r="A1" s="256" t="s">
        <v>3985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8"/>
      <c r="AI1" s="259" t="s">
        <v>1</v>
      </c>
      <c r="AJ1" s="260"/>
      <c r="AK1" s="200">
        <f ca="1">TODAY()</f>
        <v>46277</v>
      </c>
      <c r="AL1" s="201"/>
    </row>
    <row r="2" s="190" customFormat="1" ht="21.95" customHeight="1" spans="1:40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20" t="s">
        <v>14</v>
      </c>
      <c r="AB2" s="22" t="s">
        <v>15</v>
      </c>
      <c r="AC2" s="22" t="s">
        <v>1982</v>
      </c>
      <c r="AD2" s="22" t="s">
        <v>18</v>
      </c>
      <c r="AE2" s="22" t="s">
        <v>19</v>
      </c>
      <c r="AF2" s="22" t="s">
        <v>20</v>
      </c>
      <c r="AG2" s="261" t="s">
        <v>21</v>
      </c>
      <c r="AH2" s="25" t="s">
        <v>22</v>
      </c>
      <c r="AI2" s="26" t="s">
        <v>23</v>
      </c>
      <c r="AJ2" s="26" t="s">
        <v>24</v>
      </c>
      <c r="AK2" s="26" t="s">
        <v>25</v>
      </c>
      <c r="AL2" s="205" t="s">
        <v>26</v>
      </c>
      <c r="AM2" s="159" t="s">
        <v>65</v>
      </c>
      <c r="AN2" s="190" t="s">
        <v>2226</v>
      </c>
    </row>
    <row r="3" s="190" customFormat="1" ht="34.5" customHeight="1" spans="1:40">
      <c r="A3" s="14"/>
      <c r="B3" s="15"/>
      <c r="C3" s="15"/>
      <c r="D3" s="15"/>
      <c r="E3" s="29"/>
      <c r="F3" s="15"/>
      <c r="G3" s="15"/>
      <c r="H3" s="15"/>
      <c r="I3" s="15"/>
      <c r="J3" s="15"/>
      <c r="K3" s="15"/>
      <c r="L3" s="262" t="s">
        <v>3876</v>
      </c>
      <c r="M3" s="262" t="s">
        <v>3877</v>
      </c>
      <c r="N3" s="262" t="s">
        <v>3875</v>
      </c>
      <c r="O3" s="263" t="s">
        <v>1621</v>
      </c>
      <c r="P3" s="263" t="s">
        <v>1622</v>
      </c>
      <c r="Q3" s="264" t="s">
        <v>31</v>
      </c>
      <c r="R3" s="265" t="s">
        <v>35</v>
      </c>
      <c r="S3" s="264" t="s">
        <v>36</v>
      </c>
      <c r="T3" s="264" t="s">
        <v>32</v>
      </c>
      <c r="U3" s="264" t="s">
        <v>33</v>
      </c>
      <c r="V3" s="264" t="s">
        <v>34</v>
      </c>
      <c r="W3" s="266" t="s">
        <v>1563</v>
      </c>
      <c r="X3" s="266" t="s">
        <v>1565</v>
      </c>
      <c r="Y3" s="266" t="s">
        <v>1572</v>
      </c>
      <c r="Z3" s="266" t="s">
        <v>1571</v>
      </c>
      <c r="AA3" s="31"/>
      <c r="AB3" s="32"/>
      <c r="AC3" s="32"/>
      <c r="AD3" s="32"/>
      <c r="AE3" s="32"/>
      <c r="AF3" s="32"/>
      <c r="AG3" s="267"/>
      <c r="AH3" s="25"/>
      <c r="AI3" s="26"/>
      <c r="AJ3" s="26"/>
      <c r="AK3" s="26"/>
      <c r="AL3" s="205"/>
      <c r="AM3" s="159"/>
    </row>
    <row r="4" s="3" customFormat="1" ht="39.95" customHeight="1" spans="1:40">
      <c r="A4" s="268">
        <f t="shared" ref="A4:A8" si="0">ROW()-3</f>
        <v>1</v>
      </c>
      <c r="B4" s="269" t="s">
        <v>3986</v>
      </c>
      <c r="C4" s="270" t="s">
        <v>360</v>
      </c>
      <c r="D4" s="271"/>
      <c r="E4" s="272"/>
      <c r="F4" s="273">
        <v>46251</v>
      </c>
      <c r="G4" s="273">
        <v>46335</v>
      </c>
      <c r="H4" s="273"/>
      <c r="I4" s="274"/>
      <c r="J4" s="275">
        <v>2970</v>
      </c>
      <c r="K4" s="276">
        <v>18</v>
      </c>
      <c r="L4" s="277">
        <f t="shared" ref="L4:Z4" si="1">$J4/$K4*1</f>
        <v>165</v>
      </c>
      <c r="M4" s="277">
        <f t="shared" si="1"/>
        <v>165</v>
      </c>
      <c r="N4" s="277">
        <f>$J4/$K4*2</f>
        <v>330</v>
      </c>
      <c r="O4" s="277">
        <f t="shared" si="1"/>
        <v>165</v>
      </c>
      <c r="P4" s="277">
        <f t="shared" si="1"/>
        <v>165</v>
      </c>
      <c r="Q4" s="277">
        <f t="shared" si="1"/>
        <v>165</v>
      </c>
      <c r="R4" s="277">
        <f t="shared" si="1"/>
        <v>165</v>
      </c>
      <c r="S4" s="277">
        <f t="shared" si="1"/>
        <v>165</v>
      </c>
      <c r="T4" s="277">
        <f>$J4/$K4*2</f>
        <v>330</v>
      </c>
      <c r="U4" s="277">
        <f t="shared" si="1"/>
        <v>165</v>
      </c>
      <c r="V4" s="277">
        <f t="shared" si="1"/>
        <v>165</v>
      </c>
      <c r="W4" s="277">
        <f t="shared" si="1"/>
        <v>165</v>
      </c>
      <c r="X4" s="277">
        <f t="shared" si="1"/>
        <v>165</v>
      </c>
      <c r="Y4" s="277">
        <f>$J4/$K4*2</f>
        <v>330</v>
      </c>
      <c r="Z4" s="277">
        <f t="shared" si="1"/>
        <v>165</v>
      </c>
      <c r="AA4" s="278"/>
      <c r="AB4" s="96"/>
      <c r="AC4" s="279"/>
      <c r="AD4" s="279"/>
      <c r="AE4" s="183"/>
      <c r="AF4" s="183"/>
      <c r="AG4" s="183" t="s">
        <v>3987</v>
      </c>
      <c r="AH4" s="280"/>
      <c r="AI4" s="222"/>
      <c r="AJ4" s="97"/>
      <c r="AK4" s="97"/>
      <c r="AL4" s="224"/>
      <c r="AM4" s="159" t="s">
        <v>3988</v>
      </c>
    </row>
    <row r="5" s="3" customFormat="1" ht="32.1" customHeight="1" spans="1:40">
      <c r="A5" s="268">
        <f t="shared" si="0"/>
        <v>2</v>
      </c>
      <c r="B5" s="269" t="s">
        <v>3989</v>
      </c>
      <c r="C5" s="270" t="s">
        <v>360</v>
      </c>
      <c r="D5" s="271"/>
      <c r="E5" s="271"/>
      <c r="F5" s="273">
        <v>46251</v>
      </c>
      <c r="G5" s="273">
        <v>46335</v>
      </c>
      <c r="H5" s="273"/>
      <c r="I5" s="274"/>
      <c r="J5" s="275">
        <v>141264</v>
      </c>
      <c r="K5" s="276">
        <v>18</v>
      </c>
      <c r="L5" s="277">
        <f t="shared" ref="L5:Z5" si="2">$J5/$K5*1</f>
        <v>7848</v>
      </c>
      <c r="M5" s="277">
        <f t="shared" si="2"/>
        <v>7848</v>
      </c>
      <c r="N5" s="277">
        <f>$J5/$K5*2</f>
        <v>15696</v>
      </c>
      <c r="O5" s="277">
        <f t="shared" si="2"/>
        <v>7848</v>
      </c>
      <c r="P5" s="277">
        <f t="shared" si="2"/>
        <v>7848</v>
      </c>
      <c r="Q5" s="277">
        <f t="shared" si="2"/>
        <v>7848</v>
      </c>
      <c r="R5" s="277">
        <f t="shared" si="2"/>
        <v>7848</v>
      </c>
      <c r="S5" s="277">
        <f t="shared" si="2"/>
        <v>7848</v>
      </c>
      <c r="T5" s="277">
        <f>$J5/$K5*2</f>
        <v>15696</v>
      </c>
      <c r="U5" s="277">
        <f t="shared" si="2"/>
        <v>7848</v>
      </c>
      <c r="V5" s="277">
        <f t="shared" si="2"/>
        <v>7848</v>
      </c>
      <c r="W5" s="277">
        <f t="shared" si="2"/>
        <v>7848</v>
      </c>
      <c r="X5" s="277">
        <f t="shared" si="2"/>
        <v>7848</v>
      </c>
      <c r="Y5" s="277">
        <f>$J5/$K5*2</f>
        <v>15696</v>
      </c>
      <c r="Z5" s="277">
        <f t="shared" si="2"/>
        <v>7848</v>
      </c>
      <c r="AA5" s="278"/>
      <c r="AB5" s="96"/>
      <c r="AC5" s="279"/>
      <c r="AD5" s="279"/>
      <c r="AE5" s="183"/>
      <c r="AF5" s="183"/>
      <c r="AG5" s="183" t="s">
        <v>3987</v>
      </c>
      <c r="AH5" s="280"/>
      <c r="AI5" s="222"/>
      <c r="AJ5" s="97"/>
      <c r="AK5" s="97"/>
      <c r="AL5" s="224"/>
      <c r="AM5" s="159" t="s">
        <v>3988</v>
      </c>
    </row>
    <row r="6" s="3" customFormat="1" ht="36" customHeight="1" spans="1:40">
      <c r="A6" s="268">
        <f t="shared" si="0"/>
        <v>3</v>
      </c>
      <c r="B6" s="269" t="s">
        <v>3990</v>
      </c>
      <c r="C6" s="270" t="s">
        <v>360</v>
      </c>
      <c r="D6" s="271"/>
      <c r="E6" s="271"/>
      <c r="F6" s="273">
        <v>46251</v>
      </c>
      <c r="G6" s="273">
        <v>46335</v>
      </c>
      <c r="H6" s="273"/>
      <c r="I6" s="274"/>
      <c r="J6" s="281">
        <v>11898</v>
      </c>
      <c r="K6" s="276">
        <v>18</v>
      </c>
      <c r="L6" s="277">
        <f t="shared" ref="L6:Z6" si="3">$J6/$K6*1</f>
        <v>661</v>
      </c>
      <c r="M6" s="277">
        <f t="shared" si="3"/>
        <v>661</v>
      </c>
      <c r="N6" s="277">
        <f>$J6/$K6*2</f>
        <v>1322</v>
      </c>
      <c r="O6" s="277">
        <f t="shared" si="3"/>
        <v>661</v>
      </c>
      <c r="P6" s="277">
        <f t="shared" si="3"/>
        <v>661</v>
      </c>
      <c r="Q6" s="277">
        <f t="shared" si="3"/>
        <v>661</v>
      </c>
      <c r="R6" s="277">
        <f t="shared" si="3"/>
        <v>661</v>
      </c>
      <c r="S6" s="277">
        <f t="shared" si="3"/>
        <v>661</v>
      </c>
      <c r="T6" s="277">
        <f>$J6/$K6*2</f>
        <v>1322</v>
      </c>
      <c r="U6" s="277">
        <f t="shared" si="3"/>
        <v>661</v>
      </c>
      <c r="V6" s="277">
        <f t="shared" si="3"/>
        <v>661</v>
      </c>
      <c r="W6" s="277">
        <f t="shared" si="3"/>
        <v>661</v>
      </c>
      <c r="X6" s="277">
        <f t="shared" si="3"/>
        <v>661</v>
      </c>
      <c r="Y6" s="277">
        <f>$J6/$K6*2</f>
        <v>1322</v>
      </c>
      <c r="Z6" s="277">
        <f t="shared" si="3"/>
        <v>661</v>
      </c>
      <c r="AA6" s="278"/>
      <c r="AB6" s="96"/>
      <c r="AC6" s="279"/>
      <c r="AD6" s="279"/>
      <c r="AE6" s="183"/>
      <c r="AF6" s="183"/>
      <c r="AG6" s="183" t="s">
        <v>3987</v>
      </c>
      <c r="AH6" s="280"/>
      <c r="AI6" s="222"/>
      <c r="AJ6" s="97"/>
      <c r="AK6" s="97"/>
      <c r="AL6" s="224"/>
      <c r="AM6" s="159" t="s">
        <v>3988</v>
      </c>
    </row>
    <row r="7" s="3" customFormat="1" ht="27" customHeight="1" spans="1:40">
      <c r="A7" s="215">
        <f t="shared" si="0"/>
        <v>4</v>
      </c>
      <c r="B7" s="183"/>
      <c r="C7" s="96"/>
      <c r="D7" s="216"/>
      <c r="E7" s="216"/>
      <c r="F7" s="217"/>
      <c r="G7" s="217"/>
      <c r="H7" s="217"/>
      <c r="I7" s="218"/>
      <c r="J7" s="282"/>
      <c r="K7" s="95"/>
      <c r="L7" s="277"/>
      <c r="M7" s="277"/>
      <c r="N7" s="277"/>
      <c r="O7" s="277"/>
      <c r="P7" s="277"/>
      <c r="Q7" s="277"/>
      <c r="R7" s="277"/>
      <c r="S7" s="277"/>
      <c r="T7" s="277"/>
      <c r="U7" s="277"/>
      <c r="V7" s="277"/>
      <c r="W7" s="277"/>
      <c r="X7" s="277"/>
      <c r="Y7" s="277"/>
      <c r="Z7" s="283"/>
      <c r="AA7" s="278"/>
      <c r="AB7" s="96"/>
      <c r="AC7" s="279"/>
      <c r="AD7" s="279"/>
      <c r="AE7" s="183"/>
      <c r="AF7" s="183"/>
      <c r="AG7" s="183"/>
      <c r="AH7" s="280"/>
      <c r="AI7" s="222"/>
      <c r="AJ7" s="97"/>
      <c r="AK7" s="97"/>
      <c r="AL7" s="224"/>
    </row>
    <row r="8" s="3" customFormat="1" ht="27" customHeight="1" spans="1:40">
      <c r="A8" s="215">
        <f t="shared" si="0"/>
        <v>5</v>
      </c>
      <c r="B8" s="183"/>
      <c r="C8" s="96"/>
      <c r="D8" s="216"/>
      <c r="E8" s="216"/>
      <c r="F8" s="217"/>
      <c r="G8" s="217"/>
      <c r="H8" s="217"/>
      <c r="I8" s="218"/>
      <c r="J8" s="282"/>
      <c r="K8" s="95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7"/>
      <c r="Y8" s="277"/>
      <c r="Z8" s="283"/>
      <c r="AA8" s="278"/>
      <c r="AB8" s="96"/>
      <c r="AC8" s="279"/>
      <c r="AD8" s="279"/>
      <c r="AE8" s="183"/>
      <c r="AF8" s="183"/>
      <c r="AG8" s="183"/>
      <c r="AH8" s="280"/>
      <c r="AI8" s="222"/>
      <c r="AJ8" s="97"/>
      <c r="AK8" s="97"/>
      <c r="AL8" s="224"/>
    </row>
    <row r="9" s="3" customFormat="1" ht="17.1" customHeight="1" spans="1:40">
      <c r="A9" s="93" t="s">
        <v>66</v>
      </c>
      <c r="B9" s="94"/>
      <c r="C9" s="94"/>
      <c r="D9" s="94"/>
      <c r="E9" s="94"/>
      <c r="F9" s="94"/>
      <c r="G9" s="94"/>
      <c r="H9" s="94"/>
      <c r="I9" s="94"/>
      <c r="J9" s="95">
        <f t="shared" ref="J9:R9" si="4">SUM(J4:J8)</f>
        <v>156132</v>
      </c>
      <c r="K9" s="95"/>
      <c r="L9" s="95">
        <f t="shared" si="4"/>
        <v>8674</v>
      </c>
      <c r="M9" s="95">
        <f t="shared" si="4"/>
        <v>8674</v>
      </c>
      <c r="N9" s="95">
        <f t="shared" si="4"/>
        <v>17348</v>
      </c>
      <c r="O9" s="95">
        <f t="shared" si="4"/>
        <v>8674</v>
      </c>
      <c r="P9" s="95">
        <f t="shared" si="4"/>
        <v>8674</v>
      </c>
      <c r="Q9" s="95">
        <f t="shared" si="4"/>
        <v>8674</v>
      </c>
      <c r="R9" s="95">
        <f t="shared" si="4"/>
        <v>8674</v>
      </c>
      <c r="S9" s="95">
        <f t="shared" ref="S9:Z9" si="5">SUM(S4:S8)</f>
        <v>8674</v>
      </c>
      <c r="T9" s="95">
        <f t="shared" si="5"/>
        <v>17348</v>
      </c>
      <c r="U9" s="95">
        <f t="shared" si="5"/>
        <v>8674</v>
      </c>
      <c r="V9" s="95">
        <f t="shared" si="5"/>
        <v>8674</v>
      </c>
      <c r="W9" s="95">
        <f t="shared" si="5"/>
        <v>8674</v>
      </c>
      <c r="X9" s="95">
        <f t="shared" si="5"/>
        <v>8674</v>
      </c>
      <c r="Y9" s="95">
        <f t="shared" si="5"/>
        <v>17348</v>
      </c>
      <c r="Z9" s="95">
        <f t="shared" si="5"/>
        <v>8674</v>
      </c>
      <c r="AA9" s="95"/>
      <c r="AB9" s="95"/>
      <c r="AC9" s="95"/>
      <c r="AD9" s="95"/>
      <c r="AE9" s="95"/>
      <c r="AF9" s="95"/>
      <c r="AG9" s="95"/>
      <c r="AH9" s="95"/>
      <c r="AI9" s="95"/>
      <c r="AJ9" s="97"/>
      <c r="AK9" s="97"/>
      <c r="AL9" s="239"/>
    </row>
    <row r="10" s="4" customFormat="1" ht="17.1" customHeight="1" spans="1:40">
      <c r="A10" s="99"/>
      <c r="B10" s="100"/>
      <c r="C10" s="100"/>
      <c r="D10" s="100"/>
      <c r="E10" s="100"/>
      <c r="F10" s="100"/>
      <c r="G10" s="100"/>
      <c r="H10" s="100"/>
      <c r="I10" s="100"/>
      <c r="J10" s="133">
        <f>SUM(M10:Z10)</f>
        <v>0</v>
      </c>
      <c r="K10" s="100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100"/>
      <c r="AB10" s="100"/>
      <c r="AC10" s="100"/>
      <c r="AD10" s="100"/>
      <c r="AE10" s="100"/>
      <c r="AF10" s="100"/>
      <c r="AG10" s="100"/>
      <c r="AH10" s="101"/>
      <c r="AI10" s="101"/>
      <c r="AJ10" s="101"/>
      <c r="AK10" s="101"/>
      <c r="AL10" s="240"/>
    </row>
    <row r="11" s="4" customFormat="1" ht="17.1" customHeight="1" spans="1:40">
      <c r="A11" s="241" t="s">
        <v>67</v>
      </c>
      <c r="B11" s="242"/>
      <c r="C11" s="242"/>
      <c r="D11" s="242"/>
      <c r="E11" s="242"/>
      <c r="F11" s="242"/>
      <c r="G11" s="242"/>
      <c r="H11" s="242"/>
      <c r="I11" s="243"/>
      <c r="J11" s="244">
        <f>SUM(L11:Z11)</f>
        <v>-156132</v>
      </c>
      <c r="K11" s="245"/>
      <c r="L11" s="106">
        <f t="shared" ref="L11:R11" si="6">L10-L9</f>
        <v>-8674</v>
      </c>
      <c r="M11" s="106">
        <f t="shared" si="6"/>
        <v>-8674</v>
      </c>
      <c r="N11" s="106">
        <f t="shared" si="6"/>
        <v>-17348</v>
      </c>
      <c r="O11" s="106">
        <f t="shared" si="6"/>
        <v>-8674</v>
      </c>
      <c r="P11" s="106">
        <f t="shared" si="6"/>
        <v>-8674</v>
      </c>
      <c r="Q11" s="106">
        <f t="shared" si="6"/>
        <v>-8674</v>
      </c>
      <c r="R11" s="106">
        <f t="shared" si="6"/>
        <v>-8674</v>
      </c>
      <c r="S11" s="106">
        <f t="shared" ref="S11:Z11" si="7">S10-S9</f>
        <v>-8674</v>
      </c>
      <c r="T11" s="106">
        <f t="shared" si="7"/>
        <v>-17348</v>
      </c>
      <c r="U11" s="106">
        <f t="shared" si="7"/>
        <v>-8674</v>
      </c>
      <c r="V11" s="106">
        <f t="shared" si="7"/>
        <v>-8674</v>
      </c>
      <c r="W11" s="106">
        <f t="shared" si="7"/>
        <v>-8674</v>
      </c>
      <c r="X11" s="106">
        <f t="shared" si="7"/>
        <v>-8674</v>
      </c>
      <c r="Y11" s="106">
        <f t="shared" si="7"/>
        <v>-17348</v>
      </c>
      <c r="Z11" s="106">
        <f t="shared" si="7"/>
        <v>-8674</v>
      </c>
      <c r="AA11" s="107"/>
      <c r="AB11" s="107"/>
      <c r="AC11" s="107"/>
      <c r="AD11" s="107"/>
      <c r="AE11" s="107"/>
      <c r="AF11" s="107"/>
      <c r="AG11" s="107"/>
      <c r="AH11" s="108"/>
      <c r="AI11" s="108"/>
      <c r="AJ11" s="108"/>
      <c r="AK11" s="108"/>
      <c r="AL11" s="246"/>
    </row>
    <row r="12" spans="1:40">
      <c r="B12" s="110" t="s">
        <v>68</v>
      </c>
      <c r="C12" s="110"/>
      <c r="D12" s="111"/>
      <c r="E12" s="111"/>
      <c r="F12" s="111"/>
      <c r="G12" s="111"/>
      <c r="H12" s="111"/>
      <c r="I12" s="111"/>
      <c r="J12" s="285"/>
    </row>
    <row r="14" spans="1:40">
      <c r="B14" s="286"/>
    </row>
    <row r="15" spans="1:40">
      <c r="B15" s="286"/>
    </row>
    <row r="16" spans="1:40">
      <c r="B16" s="286"/>
    </row>
    <row r="19" spans="2:3">
      <c r="B19" s="287"/>
      <c r="C19" s="287"/>
    </row>
    <row r="20" spans="2:3">
      <c r="B20" s="287"/>
      <c r="C20" s="287"/>
    </row>
    <row r="21" spans="2:3">
      <c r="B21" s="287"/>
      <c r="C21" s="287"/>
    </row>
  </sheetData>
  <autoFilter xmlns:etc="http://www.wps.cn/officeDocument/2017/etCustomData" ref="A3:AN12" etc:filterBottomFollowUsedRange="0">
    <extLst/>
  </autoFilter>
  <mergeCells count="30">
    <mergeCell ref="A1:AH1"/>
    <mergeCell ref="AI1:AJ1"/>
    <mergeCell ref="AK1:AL1"/>
    <mergeCell ref="L2:Z2"/>
    <mergeCell ref="A9:I9"/>
    <mergeCell ref="A10:I10"/>
    <mergeCell ref="A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</mergeCells>
  <conditionalFormatting sqref="L11:Z11">
    <cfRule type="cellIs" dxfId="0" priority="1" operator="lessThan">
      <formula>0</formula>
    </cfRule>
  </conditionalFormatting>
  <pageMargins left="0.75" right="0.75" top="1" bottom="1" header="0.5" footer="0.5"/>
  <pageSetup paperSize="9" scale="43" orientation="landscape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00B0F0"/>
  </sheetPr>
  <dimension ref="A1:Z20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M17" sqref="M17"/>
    </sheetView>
  </sheetViews>
  <sheetFormatPr defaultColWidth="9" defaultRowHeight="35.1" customHeight="1"/>
  <cols>
    <col min="1" max="1" width="3.125" customWidth="1"/>
    <col min="2" max="2" width="11" customWidth="1"/>
    <col min="3" max="3" width="8.875" customWidth="1"/>
    <col min="4" max="4" width="13.5" customWidth="1"/>
    <col min="5" max="5" width="10.5" customWidth="1"/>
    <col min="6" max="9" width="6.5" customWidth="1"/>
    <col min="10" max="10" width="8.375" customWidth="1"/>
    <col min="11" max="11" width="5.125" customWidth="1"/>
    <col min="12" max="12" width="9.125" customWidth="1"/>
    <col min="13" max="13" width="5.375" customWidth="1"/>
    <col min="14" max="14" width="6" customWidth="1"/>
    <col min="15" max="16" width="5.125" customWidth="1"/>
    <col min="17" max="17" width="6.125" customWidth="1"/>
    <col min="18" max="18" width="7.625" customWidth="1"/>
    <col min="19" max="19" width="26.125" style="192" customWidth="1"/>
    <col min="20" max="20" width="7.875" customWidth="1"/>
    <col min="21" max="21" width="10.125" style="193" customWidth="1"/>
    <col min="22" max="22" width="7.5" style="193" customWidth="1"/>
    <col min="23" max="23" width="7.625" style="193" customWidth="1"/>
    <col min="24" max="24" width="19.125" style="194" customWidth="1"/>
    <col min="25" max="25" width="19" style="193" customWidth="1"/>
  </cols>
  <sheetData>
    <row r="1" customHeight="1" spans="1:26">
      <c r="A1" s="195" t="s">
        <v>3991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7" t="s">
        <v>1</v>
      </c>
      <c r="U1" s="198"/>
      <c r="V1" s="199"/>
      <c r="W1" s="200">
        <f ca="1">TODAY()</f>
        <v>46277</v>
      </c>
      <c r="X1" s="201"/>
    </row>
    <row r="2" s="190" customFormat="1" customHeight="1" spans="1:26">
      <c r="A2" s="14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9" t="s">
        <v>14</v>
      </c>
      <c r="M2" s="21" t="s">
        <v>995</v>
      </c>
      <c r="N2" s="21" t="s">
        <v>71</v>
      </c>
      <c r="O2" s="22" t="s">
        <v>178</v>
      </c>
      <c r="P2" s="202" t="s">
        <v>1081</v>
      </c>
      <c r="Q2" s="21" t="s">
        <v>19</v>
      </c>
      <c r="R2" s="22" t="s">
        <v>20</v>
      </c>
      <c r="S2" s="24" t="s">
        <v>21</v>
      </c>
      <c r="T2" s="203" t="s">
        <v>22</v>
      </c>
      <c r="U2" s="204" t="s">
        <v>23</v>
      </c>
      <c r="V2" s="204" t="s">
        <v>24</v>
      </c>
      <c r="W2" s="204" t="s">
        <v>25</v>
      </c>
      <c r="X2" s="205" t="s">
        <v>26</v>
      </c>
      <c r="Y2" s="206"/>
    </row>
    <row r="3" s="190" customFormat="1" customHeight="1" spans="1:26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9"/>
      <c r="M3" s="21"/>
      <c r="N3" s="21"/>
      <c r="O3" s="32"/>
      <c r="P3" s="207"/>
      <c r="Q3" s="21"/>
      <c r="R3" s="32"/>
      <c r="S3" s="24"/>
      <c r="T3" s="203"/>
      <c r="U3" s="204"/>
      <c r="V3" s="204"/>
      <c r="W3" s="204"/>
      <c r="X3" s="205"/>
      <c r="Y3" s="206" t="s">
        <v>65</v>
      </c>
      <c r="Z3" s="206" t="s">
        <v>382</v>
      </c>
    </row>
    <row r="4" s="3" customFormat="1" hidden="1" customHeight="1" spans="1:26">
      <c r="A4" s="208">
        <f t="shared" ref="A4:A11" si="0">ROW()-3</f>
        <v>1</v>
      </c>
      <c r="B4" s="48" t="s">
        <v>3992</v>
      </c>
      <c r="C4" s="49" t="s">
        <v>1674</v>
      </c>
      <c r="D4" s="50" t="s">
        <v>3993</v>
      </c>
      <c r="E4" s="50"/>
      <c r="F4" s="52">
        <v>45988</v>
      </c>
      <c r="G4" s="52">
        <v>46047</v>
      </c>
      <c r="H4" s="52">
        <v>46047</v>
      </c>
      <c r="I4" s="53">
        <v>45993</v>
      </c>
      <c r="J4" s="175">
        <v>600</v>
      </c>
      <c r="K4" s="175">
        <v>2</v>
      </c>
      <c r="L4" s="209" t="s">
        <v>195</v>
      </c>
      <c r="M4" s="210" t="s">
        <v>81</v>
      </c>
      <c r="N4" s="211" t="s">
        <v>673</v>
      </c>
      <c r="O4" s="176"/>
      <c r="P4" s="211"/>
      <c r="Q4" s="211" t="s">
        <v>673</v>
      </c>
      <c r="R4" s="49" t="s">
        <v>195</v>
      </c>
      <c r="S4" s="48" t="s">
        <v>3994</v>
      </c>
      <c r="T4" s="212">
        <v>46045</v>
      </c>
      <c r="U4" s="211">
        <v>46044</v>
      </c>
      <c r="V4" s="211"/>
      <c r="W4" s="176">
        <v>46049</v>
      </c>
      <c r="X4" s="213" t="s">
        <v>3995</v>
      </c>
      <c r="Y4" s="159" t="s">
        <v>3996</v>
      </c>
      <c r="Z4" s="3">
        <v>25008</v>
      </c>
    </row>
    <row r="5" s="3" customFormat="1" hidden="1" customHeight="1" spans="1:26">
      <c r="A5" s="208">
        <f t="shared" si="0"/>
        <v>2</v>
      </c>
      <c r="B5" s="48" t="s">
        <v>3997</v>
      </c>
      <c r="C5" s="49" t="s">
        <v>726</v>
      </c>
      <c r="D5" s="50" t="s">
        <v>3998</v>
      </c>
      <c r="E5" s="50" t="s">
        <v>3999</v>
      </c>
      <c r="F5" s="52">
        <v>46079</v>
      </c>
      <c r="G5" s="52">
        <v>46152</v>
      </c>
      <c r="H5" s="52">
        <v>46152</v>
      </c>
      <c r="I5" s="53">
        <v>46086</v>
      </c>
      <c r="J5" s="175">
        <v>1440</v>
      </c>
      <c r="K5" s="175">
        <v>2</v>
      </c>
      <c r="L5" s="49" t="s">
        <v>2495</v>
      </c>
      <c r="M5" s="214" t="s">
        <v>104</v>
      </c>
      <c r="N5" s="176" t="s">
        <v>138</v>
      </c>
      <c r="O5" s="176" t="s">
        <v>84</v>
      </c>
      <c r="P5" s="176" t="s">
        <v>138</v>
      </c>
      <c r="Q5" s="49" t="s">
        <v>2141</v>
      </c>
      <c r="R5" s="49" t="s">
        <v>2495</v>
      </c>
      <c r="S5" s="48" t="s">
        <v>4000</v>
      </c>
      <c r="T5" s="212">
        <v>46152</v>
      </c>
      <c r="U5" s="211">
        <v>46156</v>
      </c>
      <c r="V5" s="211"/>
      <c r="W5" s="176">
        <v>46182</v>
      </c>
      <c r="X5" s="213" t="s">
        <v>4001</v>
      </c>
      <c r="Y5" s="159" t="s">
        <v>3996</v>
      </c>
    </row>
    <row r="6" s="3" customFormat="1" customHeight="1" spans="1:26">
      <c r="A6" s="215">
        <f t="shared" si="0"/>
        <v>3</v>
      </c>
      <c r="B6" s="183"/>
      <c r="C6" s="96"/>
      <c r="D6" s="216" t="s">
        <v>240</v>
      </c>
      <c r="E6" s="216"/>
      <c r="F6" s="217"/>
      <c r="G6" s="217"/>
      <c r="H6" s="217"/>
      <c r="I6" s="218"/>
      <c r="J6" s="95">
        <v>30</v>
      </c>
      <c r="K6" s="95"/>
      <c r="L6" s="219"/>
      <c r="M6" s="220"/>
      <c r="N6" s="97"/>
      <c r="O6" s="97"/>
      <c r="P6" s="97"/>
      <c r="Q6" s="96"/>
      <c r="R6" s="96"/>
      <c r="S6" s="183"/>
      <c r="T6" s="221"/>
      <c r="U6" s="222"/>
      <c r="V6" s="222"/>
      <c r="W6" s="223"/>
      <c r="X6" s="224"/>
      <c r="Y6" s="159"/>
      <c r="Z6" s="3" t="s">
        <v>3235</v>
      </c>
    </row>
    <row r="7" s="3" customFormat="1" customHeight="1" spans="1:26">
      <c r="A7" s="225">
        <f t="shared" si="0"/>
        <v>4</v>
      </c>
      <c r="B7" s="226" t="s">
        <v>2642</v>
      </c>
      <c r="C7" s="227" t="s">
        <v>2867</v>
      </c>
      <c r="D7" s="228" t="s">
        <v>4002</v>
      </c>
      <c r="E7" s="229" t="s">
        <v>4003</v>
      </c>
      <c r="F7" s="230">
        <v>46146</v>
      </c>
      <c r="G7" s="230">
        <v>46214</v>
      </c>
      <c r="H7" s="230">
        <v>46214</v>
      </c>
      <c r="I7" s="231">
        <v>46197</v>
      </c>
      <c r="J7" s="232"/>
      <c r="K7" s="232">
        <v>4</v>
      </c>
      <c r="L7" s="227" t="s">
        <v>1874</v>
      </c>
      <c r="M7" s="233" t="s">
        <v>81</v>
      </c>
      <c r="N7" s="234" t="s">
        <v>1750</v>
      </c>
      <c r="O7" s="234" t="s">
        <v>84</v>
      </c>
      <c r="P7" s="234" t="s">
        <v>1750</v>
      </c>
      <c r="Q7" s="227" t="s">
        <v>3471</v>
      </c>
      <c r="R7" s="227" t="s">
        <v>1529</v>
      </c>
      <c r="S7" s="226" t="s">
        <v>4004</v>
      </c>
      <c r="T7" s="235">
        <v>46214</v>
      </c>
      <c r="U7" s="236" t="s">
        <v>4005</v>
      </c>
      <c r="V7" s="236" t="s">
        <v>4006</v>
      </c>
      <c r="W7" s="237"/>
      <c r="X7" s="238" t="s">
        <v>4007</v>
      </c>
      <c r="Y7" s="159" t="s">
        <v>4008</v>
      </c>
      <c r="Z7" s="3" t="s">
        <v>1610</v>
      </c>
    </row>
    <row r="8" s="3" customFormat="1" customHeight="1" spans="1:26">
      <c r="A8" s="225">
        <f t="shared" si="0"/>
        <v>5</v>
      </c>
      <c r="B8" s="226" t="s">
        <v>2642</v>
      </c>
      <c r="C8" s="227" t="s">
        <v>2867</v>
      </c>
      <c r="D8" s="228" t="s">
        <v>4009</v>
      </c>
      <c r="E8" s="229" t="s">
        <v>4010</v>
      </c>
      <c r="F8" s="230">
        <v>46146</v>
      </c>
      <c r="G8" s="230">
        <v>46214</v>
      </c>
      <c r="H8" s="230">
        <v>46214</v>
      </c>
      <c r="I8" s="231">
        <v>46197</v>
      </c>
      <c r="J8" s="232"/>
      <c r="K8" s="232">
        <v>4</v>
      </c>
      <c r="L8" s="227" t="s">
        <v>1874</v>
      </c>
      <c r="M8" s="233" t="s">
        <v>81</v>
      </c>
      <c r="N8" s="234" t="s">
        <v>1750</v>
      </c>
      <c r="O8" s="234" t="s">
        <v>84</v>
      </c>
      <c r="P8" s="234" t="s">
        <v>1750</v>
      </c>
      <c r="Q8" s="227" t="s">
        <v>3471</v>
      </c>
      <c r="R8" s="227" t="s">
        <v>1529</v>
      </c>
      <c r="S8" s="226" t="s">
        <v>4004</v>
      </c>
      <c r="T8" s="235">
        <v>46214</v>
      </c>
      <c r="U8" s="236"/>
      <c r="V8" s="236"/>
      <c r="W8" s="237"/>
      <c r="X8" s="238" t="s">
        <v>4011</v>
      </c>
      <c r="Y8" s="159" t="s">
        <v>4008</v>
      </c>
      <c r="Z8" s="3" t="s">
        <v>1610</v>
      </c>
    </row>
    <row r="9" s="3" customFormat="1" customHeight="1" spans="1:26">
      <c r="A9" s="225">
        <f t="shared" si="0"/>
        <v>6</v>
      </c>
      <c r="B9" s="226" t="s">
        <v>2642</v>
      </c>
      <c r="C9" s="227" t="s">
        <v>2867</v>
      </c>
      <c r="D9" s="228" t="s">
        <v>4012</v>
      </c>
      <c r="E9" s="229" t="s">
        <v>4013</v>
      </c>
      <c r="F9" s="230">
        <v>46146</v>
      </c>
      <c r="G9" s="230">
        <v>46214</v>
      </c>
      <c r="H9" s="230">
        <v>46214</v>
      </c>
      <c r="I9" s="231">
        <v>46197</v>
      </c>
      <c r="J9" s="232"/>
      <c r="K9" s="232">
        <v>4</v>
      </c>
      <c r="L9" s="227" t="s">
        <v>1874</v>
      </c>
      <c r="M9" s="233" t="s">
        <v>81</v>
      </c>
      <c r="N9" s="234" t="s">
        <v>1750</v>
      </c>
      <c r="O9" s="234" t="s">
        <v>84</v>
      </c>
      <c r="P9" s="234" t="s">
        <v>1750</v>
      </c>
      <c r="Q9" s="227" t="s">
        <v>3471</v>
      </c>
      <c r="R9" s="227" t="s">
        <v>1529</v>
      </c>
      <c r="S9" s="226" t="s">
        <v>4004</v>
      </c>
      <c r="T9" s="235">
        <v>46214</v>
      </c>
      <c r="U9" s="236"/>
      <c r="V9" s="236"/>
      <c r="W9" s="237"/>
      <c r="X9" s="238" t="s">
        <v>4014</v>
      </c>
      <c r="Y9" s="159" t="s">
        <v>4008</v>
      </c>
      <c r="Z9" s="3" t="s">
        <v>1610</v>
      </c>
    </row>
    <row r="10" s="3" customFormat="1" customHeight="1" spans="1:26">
      <c r="A10" s="225">
        <f t="shared" si="0"/>
        <v>7</v>
      </c>
      <c r="B10" s="226" t="s">
        <v>2642</v>
      </c>
      <c r="C10" s="227" t="s">
        <v>2867</v>
      </c>
      <c r="D10" s="228" t="s">
        <v>4015</v>
      </c>
      <c r="E10" s="229" t="s">
        <v>4016</v>
      </c>
      <c r="F10" s="230">
        <v>46146</v>
      </c>
      <c r="G10" s="230">
        <v>46214</v>
      </c>
      <c r="H10" s="230">
        <v>46214</v>
      </c>
      <c r="I10" s="231">
        <v>46197</v>
      </c>
      <c r="J10" s="232"/>
      <c r="K10" s="232">
        <v>4</v>
      </c>
      <c r="L10" s="227" t="s">
        <v>1874</v>
      </c>
      <c r="M10" s="233" t="s">
        <v>81</v>
      </c>
      <c r="N10" s="234" t="s">
        <v>1750</v>
      </c>
      <c r="O10" s="234" t="s">
        <v>84</v>
      </c>
      <c r="P10" s="234" t="s">
        <v>1750</v>
      </c>
      <c r="Q10" s="227" t="s">
        <v>3471</v>
      </c>
      <c r="R10" s="227" t="s">
        <v>1529</v>
      </c>
      <c r="S10" s="226" t="s">
        <v>4004</v>
      </c>
      <c r="T10" s="235">
        <v>46214</v>
      </c>
      <c r="U10" s="236"/>
      <c r="V10" s="236"/>
      <c r="W10" s="237"/>
      <c r="X10" s="238" t="s">
        <v>4017</v>
      </c>
      <c r="Y10" s="159" t="s">
        <v>4008</v>
      </c>
      <c r="Z10" s="3" t="s">
        <v>1610</v>
      </c>
    </row>
    <row r="11" s="3" customFormat="1" customHeight="1" spans="1:26">
      <c r="A11" s="215">
        <f t="shared" si="0"/>
        <v>8</v>
      </c>
      <c r="B11" s="183"/>
      <c r="C11" s="96"/>
      <c r="D11" s="216"/>
      <c r="E11" s="216"/>
      <c r="F11" s="217"/>
      <c r="G11" s="217"/>
      <c r="H11" s="217"/>
      <c r="I11" s="218"/>
      <c r="J11" s="95"/>
      <c r="K11" s="95"/>
      <c r="L11" s="219"/>
      <c r="M11" s="96"/>
      <c r="N11" s="97"/>
      <c r="O11" s="97"/>
      <c r="P11" s="97"/>
      <c r="Q11" s="96"/>
      <c r="R11" s="96"/>
      <c r="S11" s="183"/>
      <c r="T11" s="221"/>
      <c r="U11" s="222"/>
      <c r="V11" s="222"/>
      <c r="W11" s="223"/>
      <c r="X11" s="224"/>
    </row>
    <row r="12" s="3" customFormat="1" ht="24.95" customHeight="1" spans="1:26">
      <c r="A12" s="93" t="s">
        <v>1356</v>
      </c>
      <c r="B12" s="94"/>
      <c r="C12" s="94"/>
      <c r="D12" s="94"/>
      <c r="E12" s="94"/>
      <c r="F12" s="94"/>
      <c r="G12" s="94"/>
      <c r="H12" s="94"/>
      <c r="I12" s="94"/>
      <c r="J12" s="95">
        <f>SUM(J4:J11)</f>
        <v>2070</v>
      </c>
      <c r="K12" s="95"/>
      <c r="L12" s="95"/>
      <c r="M12" s="96"/>
      <c r="N12" s="96"/>
      <c r="O12" s="96"/>
      <c r="P12" s="96"/>
      <c r="Q12" s="96"/>
      <c r="R12" s="96"/>
      <c r="S12" s="96"/>
      <c r="T12" s="97"/>
      <c r="U12" s="97"/>
      <c r="V12" s="97"/>
      <c r="W12" s="97"/>
      <c r="X12" s="239"/>
    </row>
    <row r="13" s="4" customFormat="1" ht="14.1" customHeight="1" spans="1:26">
      <c r="A13" s="99" t="s">
        <v>1357</v>
      </c>
      <c r="B13" s="100"/>
      <c r="C13" s="100"/>
      <c r="D13" s="100"/>
      <c r="E13" s="100"/>
      <c r="F13" s="100"/>
      <c r="G13" s="100"/>
      <c r="H13" s="100"/>
      <c r="I13" s="100"/>
      <c r="J13" s="100">
        <f>600+1440+5000+30</f>
        <v>7070</v>
      </c>
      <c r="K13" s="100"/>
      <c r="L13" s="147"/>
      <c r="M13" s="100"/>
      <c r="N13" s="100"/>
      <c r="O13" s="100"/>
      <c r="P13" s="100"/>
      <c r="Q13" s="100"/>
      <c r="R13" s="100"/>
      <c r="S13" s="96"/>
      <c r="T13" s="100"/>
      <c r="U13" s="100"/>
      <c r="V13" s="100"/>
      <c r="W13" s="100"/>
      <c r="X13" s="240"/>
    </row>
    <row r="14" s="4" customFormat="1" ht="15" customHeight="1" spans="1:26">
      <c r="A14" s="241" t="s">
        <v>67</v>
      </c>
      <c r="B14" s="242"/>
      <c r="C14" s="242"/>
      <c r="D14" s="242"/>
      <c r="E14" s="242"/>
      <c r="F14" s="242"/>
      <c r="G14" s="242"/>
      <c r="H14" s="242"/>
      <c r="I14" s="243"/>
      <c r="J14" s="244">
        <f>J13-J12</f>
        <v>5000</v>
      </c>
      <c r="K14" s="245"/>
      <c r="L14" s="106"/>
      <c r="M14" s="106"/>
      <c r="N14" s="106"/>
      <c r="O14" s="106"/>
      <c r="P14" s="106"/>
      <c r="Q14" s="106"/>
      <c r="R14" s="106"/>
      <c r="S14" s="106"/>
      <c r="T14" s="107"/>
      <c r="U14" s="107"/>
      <c r="V14" s="107"/>
      <c r="W14" s="107"/>
      <c r="X14" s="246"/>
    </row>
    <row r="15" ht="17.1" customHeight="1" spans="1:26">
      <c r="B15" s="247" t="s">
        <v>68</v>
      </c>
      <c r="C15" s="247"/>
      <c r="D15" s="248"/>
      <c r="E15" s="248"/>
      <c r="F15" s="248"/>
      <c r="G15" s="248"/>
      <c r="H15" s="248"/>
      <c r="I15" s="249"/>
      <c r="J15" s="250"/>
    </row>
    <row r="16" ht="13.5" customHeight="1"/>
    <row r="17" ht="13.5" customHeight="1"/>
    <row r="18" ht="21" customHeight="1"/>
    <row r="19" s="191" customFormat="1" ht="29.1" customHeight="1" spans="2:25">
      <c r="B19" s="251"/>
      <c r="H19" s="251" t="s">
        <v>4018</v>
      </c>
      <c r="J19" s="252">
        <v>2112</v>
      </c>
      <c r="L19" s="251"/>
      <c r="S19" s="253"/>
      <c r="U19" s="252"/>
      <c r="V19" s="252"/>
      <c r="W19" s="252"/>
      <c r="X19" s="254"/>
      <c r="Y19" s="252"/>
    </row>
    <row r="20" customHeight="1" spans="2:25">
      <c r="B20" s="193"/>
    </row>
  </sheetData>
  <autoFilter xmlns:etc="http://www.wps.cn/officeDocument/2017/etCustomData" ref="A3:Y20" etc:filterBottomFollowUsedRange="0">
    <filterColumn colId="22">
      <filters blank="1"/>
    </filterColumn>
    <extLst/>
  </autoFilter>
  <mergeCells count="31">
    <mergeCell ref="A1:S1"/>
    <mergeCell ref="T1:V1"/>
    <mergeCell ref="W1:X1"/>
    <mergeCell ref="A12:I12"/>
    <mergeCell ref="A13:I13"/>
    <mergeCell ref="A14:I14"/>
    <mergeCell ref="B15:C15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</mergeCells>
  <conditionalFormatting sqref="L14:S14">
    <cfRule type="cellIs" dxfId="0" priority="1" operator="lessThan">
      <formula>0</formula>
    </cfRule>
  </conditionalFormatting>
  <printOptions horizontalCentered="1"/>
  <pageMargins left="0.118055555555556" right="0.118055555555556" top="0.393055555555556" bottom="0.15625" header="0.313888888888889" footer="0.313888888888889"/>
  <pageSetup paperSize="9" scale="90" orientation="landscape" horizontalDpi="600"/>
  <headerFooter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BD12"/>
  <sheetViews>
    <sheetView workbookViewId="0">
      <pane xSplit="11" ySplit="3" topLeftCell="AO4" activePane="bottomRight" state="frozen"/>
      <selection/>
      <selection pane="topRight"/>
      <selection pane="bottomLeft"/>
      <selection pane="bottomRight" activeCell="BC22" sqref="BC22"/>
    </sheetView>
  </sheetViews>
  <sheetFormatPr defaultColWidth="9" defaultRowHeight="14.25"/>
  <cols>
    <col min="1" max="1" width="3.125" style="6" customWidth="1"/>
    <col min="2" max="2" width="8" style="6" customWidth="1"/>
    <col min="3" max="3" width="6.625" style="6" customWidth="1"/>
    <col min="4" max="5" width="11.625" style="6" customWidth="1"/>
    <col min="6" max="9" width="6.125" style="7" customWidth="1"/>
    <col min="10" max="10" width="8.125" style="6" customWidth="1"/>
    <col min="11" max="11" width="4.875" style="6" customWidth="1"/>
    <col min="12" max="41" width="6.875" style="6" customWidth="1"/>
    <col min="42" max="42" width="9.625" style="6" customWidth="1"/>
    <col min="43" max="43" width="4.5" style="6" customWidth="1"/>
    <col min="44" max="44" width="6.125" style="6" customWidth="1"/>
    <col min="45" max="46" width="5.125" style="6" customWidth="1"/>
    <col min="47" max="47" width="6" style="6" customWidth="1"/>
    <col min="48" max="48" width="5.375" style="6" customWidth="1"/>
    <col min="49" max="49" width="8.625" style="6" customWidth="1"/>
    <col min="50" max="50" width="24.125" style="6" customWidth="1"/>
    <col min="51" max="51" width="9" style="8" customWidth="1"/>
    <col min="52" max="52" width="9.125" style="8" customWidth="1"/>
    <col min="53" max="54" width="8.125" style="8" customWidth="1"/>
    <col min="55" max="55" width="16.625" style="6" customWidth="1"/>
    <col min="56" max="56" width="18.625" style="6" customWidth="1"/>
    <col min="57" max="16384" width="9" style="6"/>
  </cols>
  <sheetData>
    <row r="1" ht="35.1" customHeight="1" spans="1:56">
      <c r="A1" s="9" t="s">
        <v>4019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1" t="s">
        <v>1</v>
      </c>
      <c r="BA1" s="11"/>
      <c r="BB1" s="12">
        <f ca="1">TODAY()</f>
        <v>46277</v>
      </c>
      <c r="BC1" s="13"/>
    </row>
    <row r="2" s="1" customFormat="1" ht="21.95" customHeight="1" spans="1:56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7" t="s">
        <v>13</v>
      </c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9"/>
      <c r="AP2" s="19" t="s">
        <v>14</v>
      </c>
      <c r="AQ2" s="20" t="s">
        <v>15</v>
      </c>
      <c r="AR2" s="21" t="s">
        <v>4020</v>
      </c>
      <c r="AS2" s="22" t="s">
        <v>1082</v>
      </c>
      <c r="AT2" s="22" t="s">
        <v>1081</v>
      </c>
      <c r="AU2" s="23" t="s">
        <v>4021</v>
      </c>
      <c r="AV2" s="21" t="s">
        <v>19</v>
      </c>
      <c r="AW2" s="21" t="s">
        <v>20</v>
      </c>
      <c r="AX2" s="24" t="s">
        <v>21</v>
      </c>
      <c r="AY2" s="25" t="s">
        <v>22</v>
      </c>
      <c r="AZ2" s="26" t="s">
        <v>23</v>
      </c>
      <c r="BA2" s="26" t="s">
        <v>24</v>
      </c>
      <c r="BB2" s="26" t="s">
        <v>25</v>
      </c>
      <c r="BC2" s="27" t="s">
        <v>26</v>
      </c>
    </row>
    <row r="3" s="1" customFormat="1" ht="31.5" customHeight="1" spans="1:56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4022</v>
      </c>
      <c r="M3" s="30" t="s">
        <v>4023</v>
      </c>
      <c r="N3" s="30" t="s">
        <v>4024</v>
      </c>
      <c r="O3" s="30" t="s">
        <v>4025</v>
      </c>
      <c r="P3" s="30" t="s">
        <v>4026</v>
      </c>
      <c r="Q3" s="30" t="s">
        <v>4027</v>
      </c>
      <c r="R3" s="30" t="s">
        <v>4028</v>
      </c>
      <c r="S3" s="30" t="s">
        <v>4029</v>
      </c>
      <c r="T3" s="30" t="s">
        <v>4030</v>
      </c>
      <c r="U3" s="30" t="s">
        <v>4031</v>
      </c>
      <c r="V3" s="30" t="s">
        <v>4032</v>
      </c>
      <c r="W3" s="30" t="s">
        <v>4033</v>
      </c>
      <c r="X3" s="30" t="s">
        <v>4034</v>
      </c>
      <c r="Y3" s="30" t="s">
        <v>4035</v>
      </c>
      <c r="Z3" s="30" t="s">
        <v>4036</v>
      </c>
      <c r="AA3" s="30" t="s">
        <v>4037</v>
      </c>
      <c r="AB3" s="30" t="s">
        <v>4038</v>
      </c>
      <c r="AC3" s="30" t="s">
        <v>4039</v>
      </c>
      <c r="AD3" s="30" t="s">
        <v>4040</v>
      </c>
      <c r="AE3" s="30" t="s">
        <v>4041</v>
      </c>
      <c r="AF3" s="30" t="s">
        <v>4042</v>
      </c>
      <c r="AG3" s="30" t="s">
        <v>4043</v>
      </c>
      <c r="AH3" s="30" t="s">
        <v>4044</v>
      </c>
      <c r="AI3" s="30" t="s">
        <v>4045</v>
      </c>
      <c r="AJ3" s="30" t="s">
        <v>4046</v>
      </c>
      <c r="AK3" s="30" t="s">
        <v>4047</v>
      </c>
      <c r="AL3" s="30" t="s">
        <v>4048</v>
      </c>
      <c r="AM3" s="30" t="s">
        <v>4049</v>
      </c>
      <c r="AN3" s="30" t="s">
        <v>4050</v>
      </c>
      <c r="AO3" s="30" t="s">
        <v>4051</v>
      </c>
      <c r="AP3" s="19"/>
      <c r="AQ3" s="31"/>
      <c r="AR3" s="21"/>
      <c r="AS3" s="32"/>
      <c r="AT3" s="32"/>
      <c r="AU3" s="33"/>
      <c r="AV3" s="21"/>
      <c r="AW3" s="21"/>
      <c r="AX3" s="24"/>
      <c r="AY3" s="25"/>
      <c r="AZ3" s="26"/>
      <c r="BA3" s="26"/>
      <c r="BB3" s="26"/>
      <c r="BC3" s="27"/>
    </row>
    <row r="4" s="2" customFormat="1" ht="50.45" hidden="1" customHeight="1" spans="1:56">
      <c r="A4" s="34">
        <f>ROW()-3</f>
        <v>1</v>
      </c>
      <c r="B4" s="35" t="s">
        <v>3162</v>
      </c>
      <c r="C4" s="35" t="s">
        <v>360</v>
      </c>
      <c r="D4" s="35" t="s">
        <v>4052</v>
      </c>
      <c r="E4" s="35" t="s">
        <v>4053</v>
      </c>
      <c r="F4" s="36">
        <v>46121</v>
      </c>
      <c r="G4" s="36">
        <v>46217</v>
      </c>
      <c r="H4" s="36">
        <v>46217</v>
      </c>
      <c r="I4" s="36">
        <v>46203</v>
      </c>
      <c r="J4" s="35">
        <f>SUM(L4:AO4)</f>
        <v>88080</v>
      </c>
      <c r="K4" s="35">
        <v>30</v>
      </c>
      <c r="L4" s="37">
        <v>2936</v>
      </c>
      <c r="M4" s="37">
        <v>2936</v>
      </c>
      <c r="N4" s="37">
        <v>2936</v>
      </c>
      <c r="O4" s="37">
        <v>2936</v>
      </c>
      <c r="P4" s="37">
        <v>2936</v>
      </c>
      <c r="Q4" s="37">
        <v>2936</v>
      </c>
      <c r="R4" s="37">
        <v>2936</v>
      </c>
      <c r="S4" s="37">
        <v>2936</v>
      </c>
      <c r="T4" s="37">
        <v>2936</v>
      </c>
      <c r="U4" s="37">
        <v>2936</v>
      </c>
      <c r="V4" s="37">
        <v>2936</v>
      </c>
      <c r="W4" s="37">
        <v>2936</v>
      </c>
      <c r="X4" s="37">
        <v>2936</v>
      </c>
      <c r="Y4" s="37">
        <v>2936</v>
      </c>
      <c r="Z4" s="37">
        <v>2936</v>
      </c>
      <c r="AA4" s="37">
        <v>2936</v>
      </c>
      <c r="AB4" s="37">
        <v>2936</v>
      </c>
      <c r="AC4" s="37">
        <v>2936</v>
      </c>
      <c r="AD4" s="37">
        <v>2936</v>
      </c>
      <c r="AE4" s="37">
        <v>2936</v>
      </c>
      <c r="AF4" s="37">
        <v>2936</v>
      </c>
      <c r="AG4" s="37">
        <v>2936</v>
      </c>
      <c r="AH4" s="37">
        <v>2936</v>
      </c>
      <c r="AI4" s="37">
        <v>2936</v>
      </c>
      <c r="AJ4" s="37">
        <v>2936</v>
      </c>
      <c r="AK4" s="37">
        <v>2936</v>
      </c>
      <c r="AL4" s="37">
        <v>2936</v>
      </c>
      <c r="AM4" s="37">
        <v>2936</v>
      </c>
      <c r="AN4" s="37">
        <v>2936</v>
      </c>
      <c r="AO4" s="37">
        <v>2936</v>
      </c>
      <c r="AP4" s="35" t="s">
        <v>1749</v>
      </c>
      <c r="AQ4" s="45" t="s">
        <v>104</v>
      </c>
      <c r="AR4" s="38" t="s">
        <v>1750</v>
      </c>
      <c r="AS4" s="38" t="s">
        <v>1750</v>
      </c>
      <c r="AT4" s="38" t="s">
        <v>1750</v>
      </c>
      <c r="AU4" s="38" t="s">
        <v>390</v>
      </c>
      <c r="AV4" s="35" t="s">
        <v>1206</v>
      </c>
      <c r="AW4" s="35" t="s">
        <v>1749</v>
      </c>
      <c r="AX4" s="37" t="s">
        <v>4054</v>
      </c>
      <c r="AY4" s="39">
        <v>46217</v>
      </c>
      <c r="AZ4" s="44">
        <v>46233</v>
      </c>
      <c r="BA4" s="39" t="s">
        <v>4055</v>
      </c>
      <c r="BB4" s="39">
        <v>46270</v>
      </c>
      <c r="BC4" s="40" t="s">
        <v>4056</v>
      </c>
      <c r="BD4" s="2" t="s">
        <v>4057</v>
      </c>
    </row>
    <row r="5" s="2" customFormat="1" ht="50.45" hidden="1" customHeight="1" spans="1:56">
      <c r="A5" s="34">
        <f>ROW()-3</f>
        <v>2</v>
      </c>
      <c r="B5" s="35" t="s">
        <v>3162</v>
      </c>
      <c r="C5" s="35" t="s">
        <v>360</v>
      </c>
      <c r="D5" s="35" t="s">
        <v>4058</v>
      </c>
      <c r="E5" s="35" t="s">
        <v>4059</v>
      </c>
      <c r="F5" s="36">
        <v>46121</v>
      </c>
      <c r="G5" s="36">
        <v>46217</v>
      </c>
      <c r="H5" s="36">
        <v>46217</v>
      </c>
      <c r="I5" s="36">
        <v>46203</v>
      </c>
      <c r="J5" s="35">
        <f>SUM(L5:AO5)</f>
        <v>9840</v>
      </c>
      <c r="K5" s="35">
        <v>30</v>
      </c>
      <c r="L5" s="37">
        <v>328</v>
      </c>
      <c r="M5" s="37">
        <v>328</v>
      </c>
      <c r="N5" s="37">
        <v>328</v>
      </c>
      <c r="O5" s="37">
        <v>328</v>
      </c>
      <c r="P5" s="37">
        <v>328</v>
      </c>
      <c r="Q5" s="37">
        <v>328</v>
      </c>
      <c r="R5" s="37">
        <v>328</v>
      </c>
      <c r="S5" s="37">
        <v>328</v>
      </c>
      <c r="T5" s="37">
        <v>328</v>
      </c>
      <c r="U5" s="37">
        <v>328</v>
      </c>
      <c r="V5" s="37">
        <v>328</v>
      </c>
      <c r="W5" s="37">
        <v>328</v>
      </c>
      <c r="X5" s="37">
        <v>328</v>
      </c>
      <c r="Y5" s="37">
        <v>328</v>
      </c>
      <c r="Z5" s="37">
        <v>328</v>
      </c>
      <c r="AA5" s="37">
        <v>328</v>
      </c>
      <c r="AB5" s="37">
        <v>328</v>
      </c>
      <c r="AC5" s="37">
        <v>328</v>
      </c>
      <c r="AD5" s="37">
        <v>328</v>
      </c>
      <c r="AE5" s="37">
        <v>328</v>
      </c>
      <c r="AF5" s="37">
        <v>328</v>
      </c>
      <c r="AG5" s="37">
        <v>328</v>
      </c>
      <c r="AH5" s="37">
        <v>328</v>
      </c>
      <c r="AI5" s="37">
        <v>328</v>
      </c>
      <c r="AJ5" s="37">
        <v>328</v>
      </c>
      <c r="AK5" s="37">
        <v>328</v>
      </c>
      <c r="AL5" s="37">
        <v>328</v>
      </c>
      <c r="AM5" s="37">
        <v>328</v>
      </c>
      <c r="AN5" s="37">
        <v>328</v>
      </c>
      <c r="AO5" s="37">
        <v>328</v>
      </c>
      <c r="AP5" s="35" t="s">
        <v>1749</v>
      </c>
      <c r="AQ5" s="45" t="s">
        <v>104</v>
      </c>
      <c r="AR5" s="38" t="s">
        <v>1750</v>
      </c>
      <c r="AS5" s="38" t="s">
        <v>1750</v>
      </c>
      <c r="AT5" s="38" t="s">
        <v>1750</v>
      </c>
      <c r="AU5" s="38" t="s">
        <v>390</v>
      </c>
      <c r="AV5" s="35" t="s">
        <v>1206</v>
      </c>
      <c r="AW5" s="35" t="s">
        <v>1749</v>
      </c>
      <c r="AX5" s="37" t="s">
        <v>4054</v>
      </c>
      <c r="AY5" s="39">
        <v>46217</v>
      </c>
      <c r="AZ5" s="44">
        <v>46233</v>
      </c>
      <c r="BA5" s="39"/>
      <c r="BB5" s="39">
        <v>46247</v>
      </c>
      <c r="BC5" s="40" t="s">
        <v>4060</v>
      </c>
      <c r="BD5" s="2" t="s">
        <v>4061</v>
      </c>
    </row>
    <row r="6" s="2" customFormat="1" ht="39" customHeight="1" spans="1:56">
      <c r="A6" s="59">
        <f>ROW()-3</f>
        <v>3</v>
      </c>
      <c r="B6" s="60"/>
      <c r="C6" s="60"/>
      <c r="D6" s="60"/>
      <c r="E6" s="60"/>
      <c r="F6" s="61"/>
      <c r="G6" s="61"/>
      <c r="H6" s="61"/>
      <c r="I6" s="61"/>
      <c r="J6" s="60">
        <v>17616</v>
      </c>
      <c r="K6" s="60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63"/>
      <c r="AQ6" s="64"/>
      <c r="AR6" s="65"/>
      <c r="AS6" s="65"/>
      <c r="AT6" s="65"/>
      <c r="AU6" s="65"/>
      <c r="AV6" s="60"/>
      <c r="AW6" s="60"/>
      <c r="AX6" s="60"/>
      <c r="AY6" s="67"/>
      <c r="AZ6" s="68"/>
      <c r="BA6" s="68"/>
      <c r="BB6" s="68"/>
      <c r="BC6" s="70"/>
    </row>
    <row r="7" s="2" customFormat="1" ht="39" customHeight="1" spans="1:56">
      <c r="A7" s="59">
        <f>ROW()-3</f>
        <v>4</v>
      </c>
      <c r="B7" s="60"/>
      <c r="C7" s="60"/>
      <c r="D7" s="60"/>
      <c r="E7" s="60"/>
      <c r="F7" s="61"/>
      <c r="G7" s="61"/>
      <c r="H7" s="61"/>
      <c r="I7" s="61"/>
      <c r="J7" s="60"/>
      <c r="K7" s="60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 t="s">
        <v>897</v>
      </c>
      <c r="AP7" s="63"/>
      <c r="AQ7" s="64"/>
      <c r="AR7" s="65"/>
      <c r="AS7" s="65"/>
      <c r="AT7" s="65"/>
      <c r="AU7" s="65"/>
      <c r="AV7" s="60"/>
      <c r="AW7" s="60"/>
      <c r="AX7" s="60"/>
      <c r="AY7" s="67"/>
      <c r="AZ7" s="68"/>
      <c r="BA7" s="68"/>
      <c r="BB7" s="68"/>
      <c r="BC7" s="70"/>
    </row>
    <row r="8" s="2" customFormat="1" ht="27.75" customHeight="1" spans="1:56">
      <c r="A8" s="59"/>
      <c r="B8" s="60"/>
      <c r="C8" s="60"/>
      <c r="D8" s="60"/>
      <c r="E8" s="60"/>
      <c r="F8" s="61"/>
      <c r="G8" s="61"/>
      <c r="H8" s="61"/>
      <c r="I8" s="61"/>
      <c r="J8" s="60"/>
      <c r="K8" s="60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0"/>
      <c r="AQ8" s="60"/>
      <c r="AR8" s="60"/>
      <c r="AS8" s="60"/>
      <c r="AT8" s="60"/>
      <c r="AU8" s="60"/>
      <c r="AV8" s="60"/>
      <c r="AW8" s="60"/>
      <c r="AX8" s="60"/>
      <c r="AY8" s="68"/>
      <c r="AZ8" s="68"/>
      <c r="BA8" s="68"/>
      <c r="BB8" s="68"/>
      <c r="BC8" s="70"/>
    </row>
    <row r="9" s="3" customFormat="1" ht="17.1" customHeight="1" spans="1:56">
      <c r="A9" s="93" t="s">
        <v>66</v>
      </c>
      <c r="B9" s="94"/>
      <c r="C9" s="94"/>
      <c r="D9" s="94"/>
      <c r="E9" s="94"/>
      <c r="F9" s="94"/>
      <c r="G9" s="94"/>
      <c r="H9" s="94"/>
      <c r="I9" s="94"/>
      <c r="J9" s="95">
        <f>SUM(J4:J8)</f>
        <v>115536</v>
      </c>
      <c r="K9" s="95"/>
      <c r="L9" s="95">
        <f>SUM(L4:L8)</f>
        <v>3264</v>
      </c>
      <c r="M9" s="95">
        <f>SUM(M4:M8)</f>
        <v>3264</v>
      </c>
      <c r="N9" s="95">
        <f>SUM(N4:N8)</f>
        <v>3264</v>
      </c>
      <c r="O9" s="95">
        <f>SUM(O4:O8)</f>
        <v>3264</v>
      </c>
      <c r="P9" s="95">
        <f>SUM(P4:P8)</f>
        <v>3264</v>
      </c>
      <c r="Q9" s="95">
        <f t="shared" ref="Q9:AO9" si="0">SUM(Q4:Q8)</f>
        <v>3264</v>
      </c>
      <c r="R9" s="95">
        <f t="shared" si="0"/>
        <v>3264</v>
      </c>
      <c r="S9" s="95">
        <f t="shared" si="0"/>
        <v>3264</v>
      </c>
      <c r="T9" s="95">
        <f t="shared" si="0"/>
        <v>3264</v>
      </c>
      <c r="U9" s="95">
        <f t="shared" si="0"/>
        <v>3264</v>
      </c>
      <c r="V9" s="95">
        <f t="shared" si="0"/>
        <v>3264</v>
      </c>
      <c r="W9" s="95">
        <f t="shared" si="0"/>
        <v>3264</v>
      </c>
      <c r="X9" s="95">
        <f t="shared" si="0"/>
        <v>3264</v>
      </c>
      <c r="Y9" s="95">
        <f t="shared" si="0"/>
        <v>3264</v>
      </c>
      <c r="Z9" s="95">
        <f t="shared" si="0"/>
        <v>3264</v>
      </c>
      <c r="AA9" s="95">
        <f t="shared" si="0"/>
        <v>3264</v>
      </c>
      <c r="AB9" s="95">
        <f t="shared" si="0"/>
        <v>3264</v>
      </c>
      <c r="AC9" s="95">
        <f t="shared" si="0"/>
        <v>3264</v>
      </c>
      <c r="AD9" s="95">
        <f t="shared" si="0"/>
        <v>3264</v>
      </c>
      <c r="AE9" s="95">
        <f t="shared" si="0"/>
        <v>3264</v>
      </c>
      <c r="AF9" s="95">
        <f t="shared" si="0"/>
        <v>3264</v>
      </c>
      <c r="AG9" s="95">
        <f t="shared" si="0"/>
        <v>3264</v>
      </c>
      <c r="AH9" s="95">
        <f t="shared" si="0"/>
        <v>3264</v>
      </c>
      <c r="AI9" s="95">
        <f t="shared" si="0"/>
        <v>3264</v>
      </c>
      <c r="AJ9" s="95">
        <f t="shared" si="0"/>
        <v>3264</v>
      </c>
      <c r="AK9" s="95">
        <f t="shared" si="0"/>
        <v>3264</v>
      </c>
      <c r="AL9" s="95">
        <f t="shared" si="0"/>
        <v>3264</v>
      </c>
      <c r="AM9" s="95">
        <f t="shared" si="0"/>
        <v>3264</v>
      </c>
      <c r="AN9" s="95">
        <f t="shared" si="0"/>
        <v>3264</v>
      </c>
      <c r="AO9" s="95">
        <f t="shared" si="0"/>
        <v>3264</v>
      </c>
      <c r="AP9" s="96"/>
      <c r="AQ9" s="96"/>
      <c r="AR9" s="96"/>
      <c r="AS9" s="96"/>
      <c r="AT9" s="96"/>
      <c r="AU9" s="96"/>
      <c r="AV9" s="96"/>
      <c r="AW9" s="96"/>
      <c r="AX9" s="97"/>
      <c r="AY9" s="97"/>
      <c r="AZ9" s="97"/>
      <c r="BA9" s="97"/>
      <c r="BB9" s="97"/>
      <c r="BC9" s="98"/>
    </row>
    <row r="10" s="4" customFormat="1" ht="17.1" customHeight="1" spans="1:56">
      <c r="A10" s="99"/>
      <c r="B10" s="100"/>
      <c r="C10" s="100"/>
      <c r="D10" s="100"/>
      <c r="E10" s="100"/>
      <c r="F10" s="100"/>
      <c r="G10" s="100"/>
      <c r="H10" s="100"/>
      <c r="I10" s="100"/>
      <c r="J10" s="133">
        <f>SUM(L10:P10)</f>
        <v>16320</v>
      </c>
      <c r="K10" s="100"/>
      <c r="L10" s="147">
        <f t="shared" ref="L10:AO10" si="1">3264</f>
        <v>3264</v>
      </c>
      <c r="M10" s="147">
        <f t="shared" si="1"/>
        <v>3264</v>
      </c>
      <c r="N10" s="147">
        <f t="shared" si="1"/>
        <v>3264</v>
      </c>
      <c r="O10" s="147">
        <f t="shared" si="1"/>
        <v>3264</v>
      </c>
      <c r="P10" s="147">
        <f t="shared" si="1"/>
        <v>3264</v>
      </c>
      <c r="Q10" s="147">
        <f t="shared" si="1"/>
        <v>3264</v>
      </c>
      <c r="R10" s="147">
        <f t="shared" si="1"/>
        <v>3264</v>
      </c>
      <c r="S10" s="147">
        <f t="shared" si="1"/>
        <v>3264</v>
      </c>
      <c r="T10" s="147">
        <f t="shared" si="1"/>
        <v>3264</v>
      </c>
      <c r="U10" s="147">
        <f t="shared" si="1"/>
        <v>3264</v>
      </c>
      <c r="V10" s="147">
        <f t="shared" si="1"/>
        <v>3264</v>
      </c>
      <c r="W10" s="147">
        <f t="shared" si="1"/>
        <v>3264</v>
      </c>
      <c r="X10" s="147">
        <f t="shared" si="1"/>
        <v>3264</v>
      </c>
      <c r="Y10" s="147">
        <f t="shared" si="1"/>
        <v>3264</v>
      </c>
      <c r="Z10" s="147">
        <f t="shared" si="1"/>
        <v>3264</v>
      </c>
      <c r="AA10" s="147">
        <f t="shared" si="1"/>
        <v>3264</v>
      </c>
      <c r="AB10" s="147">
        <f t="shared" si="1"/>
        <v>3264</v>
      </c>
      <c r="AC10" s="147">
        <f t="shared" si="1"/>
        <v>3264</v>
      </c>
      <c r="AD10" s="147">
        <f t="shared" si="1"/>
        <v>3264</v>
      </c>
      <c r="AE10" s="147">
        <f t="shared" si="1"/>
        <v>3264</v>
      </c>
      <c r="AF10" s="147">
        <f t="shared" si="1"/>
        <v>3264</v>
      </c>
      <c r="AG10" s="147">
        <f t="shared" si="1"/>
        <v>3264</v>
      </c>
      <c r="AH10" s="147">
        <f t="shared" si="1"/>
        <v>3264</v>
      </c>
      <c r="AI10" s="147">
        <f t="shared" si="1"/>
        <v>3264</v>
      </c>
      <c r="AJ10" s="147">
        <f t="shared" si="1"/>
        <v>3264</v>
      </c>
      <c r="AK10" s="147">
        <f t="shared" si="1"/>
        <v>3264</v>
      </c>
      <c r="AL10" s="147">
        <f t="shared" si="1"/>
        <v>3264</v>
      </c>
      <c r="AM10" s="147">
        <f t="shared" si="1"/>
        <v>3264</v>
      </c>
      <c r="AN10" s="147">
        <f t="shared" si="1"/>
        <v>3264</v>
      </c>
      <c r="AO10" s="147">
        <f t="shared" si="1"/>
        <v>3264</v>
      </c>
      <c r="AP10" s="100"/>
      <c r="AQ10" s="100"/>
      <c r="AR10" s="100"/>
      <c r="AS10" s="100"/>
      <c r="AT10" s="100"/>
      <c r="AU10" s="100"/>
      <c r="AV10" s="100"/>
      <c r="AW10" s="100"/>
      <c r="AX10" s="100"/>
      <c r="AY10" s="101"/>
      <c r="AZ10" s="101"/>
      <c r="BA10" s="101"/>
      <c r="BB10" s="101"/>
      <c r="BC10" s="102"/>
    </row>
    <row r="11" s="4" customFormat="1" ht="17.1" customHeight="1" spans="1:56">
      <c r="A11" s="103" t="s">
        <v>67</v>
      </c>
      <c r="B11" s="104"/>
      <c r="C11" s="104"/>
      <c r="D11" s="104"/>
      <c r="E11" s="104"/>
      <c r="F11" s="104"/>
      <c r="G11" s="104"/>
      <c r="H11" s="104"/>
      <c r="I11" s="104"/>
      <c r="J11" s="105">
        <f>SUM(L11:AO11)</f>
        <v>0</v>
      </c>
      <c r="K11" s="104"/>
      <c r="L11" s="106">
        <f>L10-L9</f>
        <v>0</v>
      </c>
      <c r="M11" s="106">
        <f>M10-M9</f>
        <v>0</v>
      </c>
      <c r="N11" s="106">
        <f>N10-N9</f>
        <v>0</v>
      </c>
      <c r="O11" s="106">
        <f>O10-O9</f>
        <v>0</v>
      </c>
      <c r="P11" s="106">
        <f>P10-P9</f>
        <v>0</v>
      </c>
      <c r="Q11" s="106">
        <f t="shared" ref="Q11:AO11" si="2">Q10-Q9</f>
        <v>0</v>
      </c>
      <c r="R11" s="106">
        <f t="shared" si="2"/>
        <v>0</v>
      </c>
      <c r="S11" s="106">
        <f t="shared" si="2"/>
        <v>0</v>
      </c>
      <c r="T11" s="106">
        <f t="shared" si="2"/>
        <v>0</v>
      </c>
      <c r="U11" s="106">
        <f t="shared" si="2"/>
        <v>0</v>
      </c>
      <c r="V11" s="106">
        <f t="shared" si="2"/>
        <v>0</v>
      </c>
      <c r="W11" s="106">
        <f t="shared" si="2"/>
        <v>0</v>
      </c>
      <c r="X11" s="106">
        <f t="shared" si="2"/>
        <v>0</v>
      </c>
      <c r="Y11" s="106">
        <f t="shared" si="2"/>
        <v>0</v>
      </c>
      <c r="Z11" s="106">
        <f t="shared" si="2"/>
        <v>0</v>
      </c>
      <c r="AA11" s="106">
        <f t="shared" si="2"/>
        <v>0</v>
      </c>
      <c r="AB11" s="106">
        <f t="shared" si="2"/>
        <v>0</v>
      </c>
      <c r="AC11" s="106">
        <f t="shared" si="2"/>
        <v>0</v>
      </c>
      <c r="AD11" s="106">
        <f t="shared" si="2"/>
        <v>0</v>
      </c>
      <c r="AE11" s="106">
        <f t="shared" si="2"/>
        <v>0</v>
      </c>
      <c r="AF11" s="106">
        <f t="shared" si="2"/>
        <v>0</v>
      </c>
      <c r="AG11" s="106">
        <f t="shared" si="2"/>
        <v>0</v>
      </c>
      <c r="AH11" s="106">
        <f t="shared" si="2"/>
        <v>0</v>
      </c>
      <c r="AI11" s="106">
        <f t="shared" si="2"/>
        <v>0</v>
      </c>
      <c r="AJ11" s="106">
        <f t="shared" si="2"/>
        <v>0</v>
      </c>
      <c r="AK11" s="106">
        <f t="shared" si="2"/>
        <v>0</v>
      </c>
      <c r="AL11" s="106">
        <f t="shared" si="2"/>
        <v>0</v>
      </c>
      <c r="AM11" s="106">
        <f t="shared" si="2"/>
        <v>0</v>
      </c>
      <c r="AN11" s="106">
        <f t="shared" si="2"/>
        <v>0</v>
      </c>
      <c r="AO11" s="106">
        <f t="shared" si="2"/>
        <v>0</v>
      </c>
      <c r="AP11" s="107"/>
      <c r="AQ11" s="107"/>
      <c r="AR11" s="107"/>
      <c r="AS11" s="107"/>
      <c r="AT11" s="107"/>
      <c r="AU11" s="107"/>
      <c r="AV11" s="107"/>
      <c r="AW11" s="107"/>
      <c r="AX11" s="107"/>
      <c r="AY11" s="108"/>
      <c r="AZ11" s="108"/>
      <c r="BA11" s="108"/>
      <c r="BB11" s="108"/>
      <c r="BC11" s="109"/>
    </row>
    <row r="12" customFormat="1" spans="1:56">
      <c r="B12" s="110" t="s">
        <v>68</v>
      </c>
      <c r="C12" s="110"/>
      <c r="D12" s="111"/>
      <c r="E12" s="111"/>
      <c r="F12" s="112"/>
      <c r="G12" s="112"/>
      <c r="H12" s="112"/>
      <c r="I12" s="112"/>
      <c r="AY12" s="113"/>
      <c r="AZ12" s="113"/>
      <c r="BA12" s="113"/>
      <c r="BB12" s="114"/>
    </row>
  </sheetData>
  <autoFilter xmlns:etc="http://www.wps.cn/officeDocument/2017/etCustomData" ref="A3:BD7" etc:filterBottomFollowUsedRange="0">
    <filterColumn colId="53">
      <filters blank="1"/>
    </filterColumn>
    <extLst/>
  </autoFilter>
  <mergeCells count="32">
    <mergeCell ref="A1:AY1"/>
    <mergeCell ref="AZ1:BA1"/>
    <mergeCell ref="BB1:BC1"/>
    <mergeCell ref="L2:AO2"/>
    <mergeCell ref="A9:I9"/>
    <mergeCell ref="A10:I10"/>
    <mergeCell ref="A11:I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</mergeCells>
  <conditionalFormatting sqref="L11:AO11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747916666666667" header="0.313888888888889" footer="0.313888888888889"/>
  <pageSetup paperSize="9" scale="32" orientation="landscape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AF34"/>
  <sheetViews>
    <sheetView workbookViewId="0">
      <pane xSplit="11" ySplit="3" topLeftCell="L19" activePane="bottomRight" state="frozen"/>
      <selection/>
      <selection pane="topRight"/>
      <selection pane="bottomLeft"/>
      <selection pane="bottomRight" activeCell="AB22" sqref="AB22"/>
    </sheetView>
  </sheetViews>
  <sheetFormatPr defaultColWidth="9" defaultRowHeight="14.25"/>
  <cols>
    <col min="1" max="1" width="3.125" style="6" customWidth="1"/>
    <col min="2" max="2" width="8.625" style="6" customWidth="1"/>
    <col min="3" max="3" width="7.5" style="6" customWidth="1"/>
    <col min="4" max="5" width="12" style="6" customWidth="1"/>
    <col min="6" max="9" width="5.5" style="7" customWidth="1"/>
    <col min="10" max="10" width="8.375" style="6" customWidth="1"/>
    <col min="11" max="11" width="4.875" style="6" customWidth="1"/>
    <col min="12" max="15" width="6.625" style="6" customWidth="1"/>
    <col min="16" max="16" width="6.5" style="6" customWidth="1"/>
    <col min="17" max="17" width="8.375" style="6" customWidth="1"/>
    <col min="18" max="18" width="5.125" style="6" customWidth="1"/>
    <col min="19" max="23" width="6" style="6" customWidth="1"/>
    <col min="24" max="24" width="8.125" style="6" customWidth="1"/>
    <col min="25" max="25" width="22" style="6" customWidth="1"/>
    <col min="26" max="26" width="9" style="8" customWidth="1"/>
    <col min="27" max="27" width="11.5" style="8" customWidth="1"/>
    <col min="28" max="28" width="9.125" style="8" customWidth="1"/>
    <col min="29" max="29" width="8.375" style="8" customWidth="1"/>
    <col min="30" max="30" width="18" style="6" customWidth="1"/>
    <col min="31" max="31" width="17.375" style="6" customWidth="1"/>
    <col min="32" max="32" width="10.625" style="6" customWidth="1"/>
    <col min="33" max="16384" width="9" style="6"/>
  </cols>
  <sheetData>
    <row r="1" ht="35.1" customHeight="1" spans="1:32">
      <c r="A1" s="9" t="s">
        <v>4062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46277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19" t="s">
        <v>15</v>
      </c>
      <c r="S2" s="21" t="s">
        <v>16</v>
      </c>
      <c r="T2" s="21" t="s">
        <v>1082</v>
      </c>
      <c r="U2" s="21" t="s">
        <v>1081</v>
      </c>
      <c r="V2" s="141" t="s">
        <v>4021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4063</v>
      </c>
      <c r="M3" s="30" t="s">
        <v>4064</v>
      </c>
      <c r="N3" s="30" t="s">
        <v>4065</v>
      </c>
      <c r="O3" s="30" t="s">
        <v>4066</v>
      </c>
      <c r="P3" s="30" t="s">
        <v>4067</v>
      </c>
      <c r="Q3" s="19"/>
      <c r="R3" s="19"/>
      <c r="S3" s="21"/>
      <c r="T3" s="21"/>
      <c r="U3" s="21"/>
      <c r="V3" s="141"/>
      <c r="W3" s="21"/>
      <c r="X3" s="21"/>
      <c r="Y3" s="24"/>
      <c r="Z3" s="25"/>
      <c r="AA3" s="26"/>
      <c r="AB3" s="26"/>
      <c r="AC3" s="26"/>
      <c r="AD3" s="27"/>
    </row>
    <row r="4" s="2" customFormat="1" ht="34.7" customHeight="1" spans="1:32">
      <c r="A4" s="34">
        <f>ROW()-3</f>
        <v>1</v>
      </c>
      <c r="B4" s="35" t="s">
        <v>420</v>
      </c>
      <c r="C4" s="35" t="s">
        <v>4068</v>
      </c>
      <c r="D4" s="35" t="s">
        <v>4069</v>
      </c>
      <c r="E4" s="35" t="s">
        <v>4070</v>
      </c>
      <c r="F4" s="36">
        <v>46050</v>
      </c>
      <c r="G4" s="36">
        <v>46135</v>
      </c>
      <c r="H4" s="36">
        <v>46135</v>
      </c>
      <c r="I4" s="36">
        <v>46105</v>
      </c>
      <c r="J4" s="35">
        <f t="shared" ref="J4:J23" si="0">SUM(L4:P4)</f>
        <v>620</v>
      </c>
      <c r="K4" s="35">
        <v>10</v>
      </c>
      <c r="L4" s="37">
        <v>124</v>
      </c>
      <c r="M4" s="37">
        <v>124</v>
      </c>
      <c r="N4" s="37">
        <v>124</v>
      </c>
      <c r="O4" s="37">
        <v>124</v>
      </c>
      <c r="P4" s="37">
        <v>124</v>
      </c>
      <c r="Q4" s="35" t="s">
        <v>127</v>
      </c>
      <c r="R4" s="46" t="s">
        <v>81</v>
      </c>
      <c r="S4" s="54" t="s">
        <v>730</v>
      </c>
      <c r="T4" s="54" t="s">
        <v>3735</v>
      </c>
      <c r="U4" s="54" t="s">
        <v>730</v>
      </c>
      <c r="V4" s="54" t="s">
        <v>3735</v>
      </c>
      <c r="W4" s="37" t="s">
        <v>1869</v>
      </c>
      <c r="X4" s="37" t="s">
        <v>127</v>
      </c>
      <c r="Y4" s="37" t="s">
        <v>4071</v>
      </c>
      <c r="Z4" s="44">
        <v>46135</v>
      </c>
      <c r="AA4" s="44" t="s">
        <v>4072</v>
      </c>
      <c r="AB4" s="44"/>
      <c r="AC4" s="44">
        <v>46155</v>
      </c>
      <c r="AD4" s="55" t="s">
        <v>4073</v>
      </c>
      <c r="AE4" s="2" t="s">
        <v>4074</v>
      </c>
      <c r="AF4" s="2" t="s">
        <v>1607</v>
      </c>
    </row>
    <row r="5" s="2" customFormat="1" ht="34.7" customHeight="1" spans="1:32">
      <c r="A5" s="34">
        <f>ROW()-3</f>
        <v>2</v>
      </c>
      <c r="B5" s="35" t="s">
        <v>420</v>
      </c>
      <c r="C5" s="35" t="s">
        <v>4068</v>
      </c>
      <c r="D5" s="35" t="s">
        <v>4075</v>
      </c>
      <c r="E5" s="35" t="s">
        <v>4076</v>
      </c>
      <c r="F5" s="36">
        <v>46050</v>
      </c>
      <c r="G5" s="36">
        <v>46135</v>
      </c>
      <c r="H5" s="36">
        <v>46135</v>
      </c>
      <c r="I5" s="36">
        <v>46105</v>
      </c>
      <c r="J5" s="35">
        <f t="shared" si="0"/>
        <v>3500</v>
      </c>
      <c r="K5" s="35">
        <v>10</v>
      </c>
      <c r="L5" s="37">
        <v>700</v>
      </c>
      <c r="M5" s="37">
        <v>700</v>
      </c>
      <c r="N5" s="37">
        <v>700</v>
      </c>
      <c r="O5" s="37">
        <v>700</v>
      </c>
      <c r="P5" s="37">
        <v>700</v>
      </c>
      <c r="Q5" s="35" t="s">
        <v>127</v>
      </c>
      <c r="R5" s="46" t="s">
        <v>81</v>
      </c>
      <c r="S5" s="54" t="s">
        <v>730</v>
      </c>
      <c r="T5" s="54" t="s">
        <v>3735</v>
      </c>
      <c r="U5" s="54" t="s">
        <v>730</v>
      </c>
      <c r="V5" s="54" t="s">
        <v>3735</v>
      </c>
      <c r="W5" s="37" t="s">
        <v>1869</v>
      </c>
      <c r="X5" s="37" t="s">
        <v>127</v>
      </c>
      <c r="Y5" s="37" t="s">
        <v>4071</v>
      </c>
      <c r="Z5" s="44">
        <v>46135</v>
      </c>
      <c r="AA5" s="44">
        <v>46135</v>
      </c>
      <c r="AB5" s="44"/>
      <c r="AC5" s="44">
        <v>46153</v>
      </c>
      <c r="AD5" s="55" t="s">
        <v>4077</v>
      </c>
      <c r="AE5" s="2" t="s">
        <v>4074</v>
      </c>
      <c r="AF5" s="2" t="s">
        <v>1607</v>
      </c>
    </row>
    <row r="6" s="2" customFormat="1" ht="34.7" customHeight="1" spans="1:32">
      <c r="A6" s="34">
        <f>ROW()-3</f>
        <v>3</v>
      </c>
      <c r="B6" s="35" t="s">
        <v>420</v>
      </c>
      <c r="C6" s="35" t="s">
        <v>4068</v>
      </c>
      <c r="D6" s="35" t="s">
        <v>4078</v>
      </c>
      <c r="E6" s="35" t="s">
        <v>4079</v>
      </c>
      <c r="F6" s="36">
        <v>46081</v>
      </c>
      <c r="G6" s="36">
        <v>46148</v>
      </c>
      <c r="H6" s="36">
        <v>46148</v>
      </c>
      <c r="I6" s="36">
        <v>46105</v>
      </c>
      <c r="J6" s="35">
        <f t="shared" si="0"/>
        <v>3040</v>
      </c>
      <c r="K6" s="35">
        <v>10</v>
      </c>
      <c r="L6" s="37">
        <v>608</v>
      </c>
      <c r="M6" s="37">
        <v>608</v>
      </c>
      <c r="N6" s="37">
        <v>608</v>
      </c>
      <c r="O6" s="37">
        <v>608</v>
      </c>
      <c r="P6" s="37">
        <v>608</v>
      </c>
      <c r="Q6" s="35" t="s">
        <v>127</v>
      </c>
      <c r="R6" s="46" t="s">
        <v>81</v>
      </c>
      <c r="S6" s="54" t="s">
        <v>730</v>
      </c>
      <c r="T6" s="54" t="s">
        <v>3735</v>
      </c>
      <c r="U6" s="54" t="s">
        <v>730</v>
      </c>
      <c r="V6" s="54" t="s">
        <v>3735</v>
      </c>
      <c r="W6" s="37" t="s">
        <v>1869</v>
      </c>
      <c r="X6" s="37" t="s">
        <v>127</v>
      </c>
      <c r="Y6" s="37" t="s">
        <v>4071</v>
      </c>
      <c r="Z6" s="44">
        <v>46148</v>
      </c>
      <c r="AA6" s="44">
        <v>46150</v>
      </c>
      <c r="AB6" s="44"/>
      <c r="AC6" s="44">
        <v>46158</v>
      </c>
      <c r="AD6" s="55" t="s">
        <v>4080</v>
      </c>
      <c r="AE6" s="2" t="s">
        <v>4074</v>
      </c>
      <c r="AF6" s="2" t="s">
        <v>1607</v>
      </c>
    </row>
    <row r="7" s="2" customFormat="1" ht="34.7" customHeight="1" spans="1:32">
      <c r="A7" s="34">
        <f t="shared" ref="A7:A28" si="1">ROW()-3</f>
        <v>4</v>
      </c>
      <c r="B7" s="35" t="s">
        <v>420</v>
      </c>
      <c r="C7" s="35" t="s">
        <v>4068</v>
      </c>
      <c r="D7" s="35" t="s">
        <v>4081</v>
      </c>
      <c r="E7" s="35" t="s">
        <v>4082</v>
      </c>
      <c r="F7" s="36">
        <v>46093</v>
      </c>
      <c r="G7" s="36">
        <v>46156</v>
      </c>
      <c r="H7" s="36">
        <v>46156</v>
      </c>
      <c r="I7" s="36">
        <v>46129</v>
      </c>
      <c r="J7" s="35">
        <f t="shared" si="0"/>
        <v>24750</v>
      </c>
      <c r="K7" s="35">
        <v>10</v>
      </c>
      <c r="L7" s="37">
        <v>4950</v>
      </c>
      <c r="M7" s="37">
        <v>4950</v>
      </c>
      <c r="N7" s="37">
        <v>4950</v>
      </c>
      <c r="O7" s="37">
        <v>4950</v>
      </c>
      <c r="P7" s="37">
        <v>4950</v>
      </c>
      <c r="Q7" s="35" t="s">
        <v>2495</v>
      </c>
      <c r="R7" s="46" t="s">
        <v>81</v>
      </c>
      <c r="S7" s="54" t="s">
        <v>4083</v>
      </c>
      <c r="T7" s="54" t="s">
        <v>4083</v>
      </c>
      <c r="U7" s="54" t="s">
        <v>4083</v>
      </c>
      <c r="V7" s="54" t="s">
        <v>4084</v>
      </c>
      <c r="W7" s="37" t="s">
        <v>4085</v>
      </c>
      <c r="X7" s="37" t="s">
        <v>2495</v>
      </c>
      <c r="Y7" s="37" t="s">
        <v>4071</v>
      </c>
      <c r="Z7" s="44">
        <v>46156</v>
      </c>
      <c r="AA7" s="44">
        <v>46157</v>
      </c>
      <c r="AB7" s="44"/>
      <c r="AC7" s="44">
        <v>46168</v>
      </c>
      <c r="AD7" s="55" t="s">
        <v>4086</v>
      </c>
      <c r="AE7" s="2" t="s">
        <v>4074</v>
      </c>
      <c r="AF7" s="2" t="s">
        <v>1610</v>
      </c>
    </row>
    <row r="8" s="2" customFormat="1" ht="34.7" customHeight="1" spans="1:32">
      <c r="A8" s="34">
        <f t="shared" si="1"/>
        <v>5</v>
      </c>
      <c r="B8" s="35" t="s">
        <v>420</v>
      </c>
      <c r="C8" s="35" t="s">
        <v>4068</v>
      </c>
      <c r="D8" s="35" t="s">
        <v>4087</v>
      </c>
      <c r="E8" s="35" t="s">
        <v>4088</v>
      </c>
      <c r="F8" s="36">
        <v>46093</v>
      </c>
      <c r="G8" s="36">
        <v>46156</v>
      </c>
      <c r="H8" s="36">
        <v>46156</v>
      </c>
      <c r="I8" s="36">
        <v>46129</v>
      </c>
      <c r="J8" s="35">
        <f t="shared" si="0"/>
        <v>2760</v>
      </c>
      <c r="K8" s="35">
        <v>10</v>
      </c>
      <c r="L8" s="37">
        <v>552</v>
      </c>
      <c r="M8" s="37">
        <v>552</v>
      </c>
      <c r="N8" s="37">
        <v>552</v>
      </c>
      <c r="O8" s="37">
        <v>552</v>
      </c>
      <c r="P8" s="37">
        <v>552</v>
      </c>
      <c r="Q8" s="35" t="s">
        <v>2495</v>
      </c>
      <c r="R8" s="46" t="s">
        <v>81</v>
      </c>
      <c r="S8" s="54" t="s">
        <v>4083</v>
      </c>
      <c r="T8" s="54" t="s">
        <v>4083</v>
      </c>
      <c r="U8" s="54" t="s">
        <v>4083</v>
      </c>
      <c r="V8" s="54" t="s">
        <v>4084</v>
      </c>
      <c r="W8" s="37" t="s">
        <v>4085</v>
      </c>
      <c r="X8" s="37" t="s">
        <v>2495</v>
      </c>
      <c r="Y8" s="37" t="s">
        <v>4071</v>
      </c>
      <c r="Z8" s="44">
        <v>46156</v>
      </c>
      <c r="AA8" s="44">
        <v>46157</v>
      </c>
      <c r="AB8" s="44"/>
      <c r="AC8" s="44">
        <v>46165</v>
      </c>
      <c r="AD8" s="55" t="s">
        <v>4089</v>
      </c>
      <c r="AE8" s="2" t="s">
        <v>4074</v>
      </c>
      <c r="AF8" s="2" t="s">
        <v>1610</v>
      </c>
    </row>
    <row r="9" s="2" customFormat="1" ht="34.7" customHeight="1" spans="1:32">
      <c r="A9" s="34">
        <f t="shared" si="1"/>
        <v>6</v>
      </c>
      <c r="B9" s="35" t="s">
        <v>420</v>
      </c>
      <c r="C9" s="35" t="s">
        <v>4068</v>
      </c>
      <c r="D9" s="35" t="s">
        <v>4090</v>
      </c>
      <c r="E9" s="35" t="s">
        <v>4091</v>
      </c>
      <c r="F9" s="36">
        <v>46093</v>
      </c>
      <c r="G9" s="36">
        <v>46156</v>
      </c>
      <c r="H9" s="36">
        <v>46156</v>
      </c>
      <c r="I9" s="36">
        <v>46129</v>
      </c>
      <c r="J9" s="35">
        <f t="shared" si="0"/>
        <v>3840</v>
      </c>
      <c r="K9" s="35">
        <v>10</v>
      </c>
      <c r="L9" s="37">
        <v>768</v>
      </c>
      <c r="M9" s="37">
        <v>768</v>
      </c>
      <c r="N9" s="37">
        <v>768</v>
      </c>
      <c r="O9" s="37">
        <v>768</v>
      </c>
      <c r="P9" s="37">
        <v>768</v>
      </c>
      <c r="Q9" s="35" t="s">
        <v>2495</v>
      </c>
      <c r="R9" s="46" t="s">
        <v>81</v>
      </c>
      <c r="S9" s="54" t="s">
        <v>4083</v>
      </c>
      <c r="T9" s="54" t="s">
        <v>4083</v>
      </c>
      <c r="U9" s="54" t="s">
        <v>4083</v>
      </c>
      <c r="V9" s="54" t="s">
        <v>4084</v>
      </c>
      <c r="W9" s="37" t="s">
        <v>4085</v>
      </c>
      <c r="X9" s="37" t="s">
        <v>2495</v>
      </c>
      <c r="Y9" s="37" t="s">
        <v>4071</v>
      </c>
      <c r="Z9" s="44">
        <v>46156</v>
      </c>
      <c r="AA9" s="44">
        <v>46157</v>
      </c>
      <c r="AB9" s="44"/>
      <c r="AC9" s="44">
        <v>46168</v>
      </c>
      <c r="AD9" s="55" t="s">
        <v>4092</v>
      </c>
      <c r="AE9" s="2" t="s">
        <v>4074</v>
      </c>
      <c r="AF9" s="2" t="s">
        <v>1610</v>
      </c>
    </row>
    <row r="10" s="2" customFormat="1" ht="34.7" customHeight="1" spans="1:32">
      <c r="A10" s="34">
        <f t="shared" si="1"/>
        <v>7</v>
      </c>
      <c r="B10" s="35" t="s">
        <v>420</v>
      </c>
      <c r="C10" s="35" t="s">
        <v>4068</v>
      </c>
      <c r="D10" s="35" t="s">
        <v>4093</v>
      </c>
      <c r="E10" s="35" t="s">
        <v>4094</v>
      </c>
      <c r="F10" s="36">
        <v>46093</v>
      </c>
      <c r="G10" s="36">
        <v>46156</v>
      </c>
      <c r="H10" s="36">
        <v>46156</v>
      </c>
      <c r="I10" s="36">
        <v>46129</v>
      </c>
      <c r="J10" s="35">
        <f t="shared" si="0"/>
        <v>2760</v>
      </c>
      <c r="K10" s="35">
        <v>10</v>
      </c>
      <c r="L10" s="37">
        <v>552</v>
      </c>
      <c r="M10" s="37">
        <v>552</v>
      </c>
      <c r="N10" s="37">
        <v>552</v>
      </c>
      <c r="O10" s="37">
        <v>552</v>
      </c>
      <c r="P10" s="37">
        <v>552</v>
      </c>
      <c r="Q10" s="35" t="s">
        <v>2495</v>
      </c>
      <c r="R10" s="46" t="s">
        <v>81</v>
      </c>
      <c r="S10" s="54" t="s">
        <v>4083</v>
      </c>
      <c r="T10" s="54" t="s">
        <v>4083</v>
      </c>
      <c r="U10" s="54" t="s">
        <v>4083</v>
      </c>
      <c r="V10" s="54" t="s">
        <v>4084</v>
      </c>
      <c r="W10" s="37" t="s">
        <v>4085</v>
      </c>
      <c r="X10" s="37" t="s">
        <v>2495</v>
      </c>
      <c r="Y10" s="37" t="s">
        <v>4071</v>
      </c>
      <c r="Z10" s="44">
        <v>46156</v>
      </c>
      <c r="AA10" s="44">
        <v>46157</v>
      </c>
      <c r="AB10" s="44"/>
      <c r="AC10" s="44">
        <v>46165</v>
      </c>
      <c r="AD10" s="55" t="s">
        <v>4095</v>
      </c>
      <c r="AE10" s="2" t="s">
        <v>4074</v>
      </c>
      <c r="AF10" s="2" t="s">
        <v>1610</v>
      </c>
    </row>
    <row r="11" s="2" customFormat="1" ht="34.7" customHeight="1" spans="1:32">
      <c r="A11" s="34">
        <f t="shared" si="1"/>
        <v>8</v>
      </c>
      <c r="B11" s="35" t="s">
        <v>420</v>
      </c>
      <c r="C11" s="35" t="s">
        <v>4068</v>
      </c>
      <c r="D11" s="35" t="s">
        <v>4096</v>
      </c>
      <c r="E11" s="35" t="s">
        <v>4097</v>
      </c>
      <c r="F11" s="36">
        <v>46093</v>
      </c>
      <c r="G11" s="36">
        <v>46156</v>
      </c>
      <c r="H11" s="36">
        <v>46156</v>
      </c>
      <c r="I11" s="36">
        <v>46129</v>
      </c>
      <c r="J11" s="35">
        <f t="shared" si="0"/>
        <v>3840</v>
      </c>
      <c r="K11" s="35">
        <v>10</v>
      </c>
      <c r="L11" s="37">
        <v>768</v>
      </c>
      <c r="M11" s="37">
        <v>768</v>
      </c>
      <c r="N11" s="37">
        <v>768</v>
      </c>
      <c r="O11" s="37">
        <v>768</v>
      </c>
      <c r="P11" s="37">
        <v>768</v>
      </c>
      <c r="Q11" s="35" t="s">
        <v>2495</v>
      </c>
      <c r="R11" s="46" t="s">
        <v>81</v>
      </c>
      <c r="S11" s="54" t="s">
        <v>4083</v>
      </c>
      <c r="T11" s="54" t="s">
        <v>4083</v>
      </c>
      <c r="U11" s="54" t="s">
        <v>4083</v>
      </c>
      <c r="V11" s="54" t="s">
        <v>4084</v>
      </c>
      <c r="W11" s="37" t="s">
        <v>4085</v>
      </c>
      <c r="X11" s="37" t="s">
        <v>2495</v>
      </c>
      <c r="Y11" s="37" t="s">
        <v>4071</v>
      </c>
      <c r="Z11" s="44">
        <v>46156</v>
      </c>
      <c r="AA11" s="44">
        <v>46157</v>
      </c>
      <c r="AB11" s="44"/>
      <c r="AC11" s="44">
        <v>46179</v>
      </c>
      <c r="AD11" s="55" t="s">
        <v>4098</v>
      </c>
      <c r="AE11" s="2" t="s">
        <v>4074</v>
      </c>
      <c r="AF11" s="2" t="s">
        <v>1610</v>
      </c>
    </row>
    <row r="12" s="2" customFormat="1" ht="34.7" customHeight="1" spans="1:32">
      <c r="A12" s="47">
        <f t="shared" si="1"/>
        <v>9</v>
      </c>
      <c r="B12" s="37" t="s">
        <v>420</v>
      </c>
      <c r="C12" s="37" t="s">
        <v>4068</v>
      </c>
      <c r="D12" s="37" t="s">
        <v>4099</v>
      </c>
      <c r="E12" s="37" t="s">
        <v>4100</v>
      </c>
      <c r="F12" s="56">
        <v>46091</v>
      </c>
      <c r="G12" s="56">
        <v>46163</v>
      </c>
      <c r="H12" s="56">
        <v>46163</v>
      </c>
      <c r="I12" s="56">
        <v>46129</v>
      </c>
      <c r="J12" s="37">
        <f t="shared" si="0"/>
        <v>6720</v>
      </c>
      <c r="K12" s="37">
        <v>10</v>
      </c>
      <c r="L12" s="37">
        <v>1344</v>
      </c>
      <c r="M12" s="37">
        <v>1344</v>
      </c>
      <c r="N12" s="37">
        <v>1344</v>
      </c>
      <c r="O12" s="37">
        <v>1344</v>
      </c>
      <c r="P12" s="37">
        <v>1344</v>
      </c>
      <c r="Q12" s="37" t="s">
        <v>2495</v>
      </c>
      <c r="R12" s="46" t="s">
        <v>81</v>
      </c>
      <c r="S12" s="54" t="s">
        <v>4083</v>
      </c>
      <c r="T12" s="54" t="s">
        <v>4083</v>
      </c>
      <c r="U12" s="54" t="s">
        <v>4083</v>
      </c>
      <c r="V12" s="54" t="s">
        <v>4084</v>
      </c>
      <c r="W12" s="37" t="s">
        <v>4085</v>
      </c>
      <c r="X12" s="37" t="s">
        <v>2495</v>
      </c>
      <c r="Y12" s="37" t="s">
        <v>4071</v>
      </c>
      <c r="Z12" s="44">
        <v>46163</v>
      </c>
      <c r="AA12" s="44">
        <v>46164</v>
      </c>
      <c r="AB12" s="44"/>
      <c r="AC12" s="44">
        <v>46186</v>
      </c>
      <c r="AD12" s="55" t="s">
        <v>4101</v>
      </c>
      <c r="AE12" s="2" t="s">
        <v>4074</v>
      </c>
      <c r="AF12" s="2" t="s">
        <v>1610</v>
      </c>
    </row>
    <row r="13" s="2" customFormat="1" ht="34.7" customHeight="1" spans="1:32">
      <c r="A13" s="47">
        <f t="shared" si="1"/>
        <v>10</v>
      </c>
      <c r="B13" s="37" t="s">
        <v>420</v>
      </c>
      <c r="C13" s="37" t="s">
        <v>4068</v>
      </c>
      <c r="D13" s="37" t="s">
        <v>4102</v>
      </c>
      <c r="E13" s="37" t="s">
        <v>4103</v>
      </c>
      <c r="F13" s="56">
        <v>46091</v>
      </c>
      <c r="G13" s="56">
        <v>46163</v>
      </c>
      <c r="H13" s="56">
        <v>46163</v>
      </c>
      <c r="I13" s="56">
        <v>46129</v>
      </c>
      <c r="J13" s="37">
        <f t="shared" si="0"/>
        <v>6230</v>
      </c>
      <c r="K13" s="37">
        <v>10</v>
      </c>
      <c r="L13" s="37">
        <v>1246</v>
      </c>
      <c r="M13" s="37">
        <v>1246</v>
      </c>
      <c r="N13" s="37">
        <v>1246</v>
      </c>
      <c r="O13" s="37">
        <v>1246</v>
      </c>
      <c r="P13" s="37">
        <v>1246</v>
      </c>
      <c r="Q13" s="37" t="s">
        <v>2495</v>
      </c>
      <c r="R13" s="46" t="s">
        <v>81</v>
      </c>
      <c r="S13" s="54" t="s">
        <v>4083</v>
      </c>
      <c r="T13" s="54" t="s">
        <v>4083</v>
      </c>
      <c r="U13" s="54" t="s">
        <v>4083</v>
      </c>
      <c r="V13" s="54" t="s">
        <v>4084</v>
      </c>
      <c r="W13" s="37" t="s">
        <v>4085</v>
      </c>
      <c r="X13" s="37" t="s">
        <v>2495</v>
      </c>
      <c r="Y13" s="37" t="s">
        <v>4071</v>
      </c>
      <c r="Z13" s="44">
        <v>46163</v>
      </c>
      <c r="AA13" s="44">
        <v>46164</v>
      </c>
      <c r="AB13" s="44"/>
      <c r="AC13" s="44">
        <v>46186</v>
      </c>
      <c r="AD13" s="55" t="s">
        <v>4104</v>
      </c>
      <c r="AE13" s="2" t="s">
        <v>4074</v>
      </c>
      <c r="AF13" s="2" t="s">
        <v>1610</v>
      </c>
    </row>
    <row r="14" s="2" customFormat="1" ht="34.7" customHeight="1" spans="1:32">
      <c r="A14" s="47">
        <f t="shared" si="1"/>
        <v>11</v>
      </c>
      <c r="B14" s="37" t="s">
        <v>420</v>
      </c>
      <c r="C14" s="37" t="s">
        <v>4068</v>
      </c>
      <c r="D14" s="37" t="s">
        <v>4105</v>
      </c>
      <c r="E14" s="37" t="s">
        <v>4106</v>
      </c>
      <c r="F14" s="56">
        <v>46093</v>
      </c>
      <c r="G14" s="56">
        <v>46163</v>
      </c>
      <c r="H14" s="56">
        <v>46163</v>
      </c>
      <c r="I14" s="56">
        <v>46129</v>
      </c>
      <c r="J14" s="37">
        <f t="shared" si="0"/>
        <v>2760</v>
      </c>
      <c r="K14" s="37">
        <v>10</v>
      </c>
      <c r="L14" s="37">
        <v>552</v>
      </c>
      <c r="M14" s="37">
        <v>552</v>
      </c>
      <c r="N14" s="37">
        <v>552</v>
      </c>
      <c r="O14" s="37">
        <v>552</v>
      </c>
      <c r="P14" s="37">
        <v>552</v>
      </c>
      <c r="Q14" s="37" t="s">
        <v>2495</v>
      </c>
      <c r="R14" s="46" t="s">
        <v>81</v>
      </c>
      <c r="S14" s="54" t="s">
        <v>4083</v>
      </c>
      <c r="T14" s="54" t="s">
        <v>4083</v>
      </c>
      <c r="U14" s="54" t="s">
        <v>4083</v>
      </c>
      <c r="V14" s="54" t="s">
        <v>4084</v>
      </c>
      <c r="W14" s="37" t="s">
        <v>4085</v>
      </c>
      <c r="X14" s="37" t="s">
        <v>2495</v>
      </c>
      <c r="Y14" s="37" t="s">
        <v>4071</v>
      </c>
      <c r="Z14" s="44">
        <v>46163</v>
      </c>
      <c r="AA14" s="44">
        <v>46164</v>
      </c>
      <c r="AB14" s="44"/>
      <c r="AC14" s="44">
        <v>46179</v>
      </c>
      <c r="AD14" s="55" t="s">
        <v>4107</v>
      </c>
      <c r="AE14" s="2" t="s">
        <v>4074</v>
      </c>
      <c r="AF14" s="2" t="s">
        <v>1610</v>
      </c>
    </row>
    <row r="15" s="2" customFormat="1" ht="34.7" customHeight="1" spans="1:32">
      <c r="A15" s="47">
        <f t="shared" si="1"/>
        <v>12</v>
      </c>
      <c r="B15" s="37" t="s">
        <v>420</v>
      </c>
      <c r="C15" s="37" t="s">
        <v>4068</v>
      </c>
      <c r="D15" s="37" t="s">
        <v>4108</v>
      </c>
      <c r="E15" s="37" t="s">
        <v>4109</v>
      </c>
      <c r="F15" s="56">
        <v>46093</v>
      </c>
      <c r="G15" s="56">
        <v>46172</v>
      </c>
      <c r="H15" s="56">
        <v>46172</v>
      </c>
      <c r="I15" s="56">
        <v>46129</v>
      </c>
      <c r="J15" s="37">
        <f t="shared" si="0"/>
        <v>3840</v>
      </c>
      <c r="K15" s="37">
        <v>10</v>
      </c>
      <c r="L15" s="37">
        <v>768</v>
      </c>
      <c r="M15" s="37">
        <v>768</v>
      </c>
      <c r="N15" s="37">
        <v>768</v>
      </c>
      <c r="O15" s="37">
        <v>768</v>
      </c>
      <c r="P15" s="37">
        <v>768</v>
      </c>
      <c r="Q15" s="37" t="s">
        <v>2495</v>
      </c>
      <c r="R15" s="46" t="s">
        <v>81</v>
      </c>
      <c r="S15" s="54" t="s">
        <v>4083</v>
      </c>
      <c r="T15" s="54" t="s">
        <v>4083</v>
      </c>
      <c r="U15" s="54" t="s">
        <v>4083</v>
      </c>
      <c r="V15" s="54" t="s">
        <v>4084</v>
      </c>
      <c r="W15" s="37" t="s">
        <v>4085</v>
      </c>
      <c r="X15" s="37" t="s">
        <v>2495</v>
      </c>
      <c r="Y15" s="37" t="s">
        <v>4071</v>
      </c>
      <c r="Z15" s="44">
        <v>46172</v>
      </c>
      <c r="AA15" s="44">
        <v>46171</v>
      </c>
      <c r="AB15" s="44"/>
      <c r="AC15" s="44">
        <v>46195</v>
      </c>
      <c r="AD15" s="55" t="s">
        <v>4110</v>
      </c>
      <c r="AE15" s="2" t="s">
        <v>4074</v>
      </c>
      <c r="AF15" s="2" t="s">
        <v>1610</v>
      </c>
    </row>
    <row r="16" s="2" customFormat="1" ht="34.7" customHeight="1" spans="1:32">
      <c r="A16" s="34">
        <f t="shared" si="1"/>
        <v>13</v>
      </c>
      <c r="B16" s="35" t="s">
        <v>420</v>
      </c>
      <c r="C16" s="35" t="s">
        <v>4068</v>
      </c>
      <c r="D16" s="35" t="s">
        <v>4111</v>
      </c>
      <c r="E16" s="35" t="s">
        <v>4112</v>
      </c>
      <c r="F16" s="36">
        <v>46100</v>
      </c>
      <c r="G16" s="36">
        <v>46178</v>
      </c>
      <c r="H16" s="36">
        <v>46178</v>
      </c>
      <c r="I16" s="36">
        <v>46153</v>
      </c>
      <c r="J16" s="35">
        <f t="shared" si="0"/>
        <v>2760</v>
      </c>
      <c r="K16" s="35">
        <v>10</v>
      </c>
      <c r="L16" s="37">
        <v>552</v>
      </c>
      <c r="M16" s="37">
        <v>552</v>
      </c>
      <c r="N16" s="37">
        <v>552</v>
      </c>
      <c r="O16" s="37">
        <v>552</v>
      </c>
      <c r="P16" s="37">
        <v>552</v>
      </c>
      <c r="Q16" s="35" t="s">
        <v>499</v>
      </c>
      <c r="R16" s="45" t="s">
        <v>81</v>
      </c>
      <c r="S16" s="35" t="s">
        <v>501</v>
      </c>
      <c r="T16" s="35" t="s">
        <v>501</v>
      </c>
      <c r="U16" s="35" t="s">
        <v>501</v>
      </c>
      <c r="V16" s="38" t="s">
        <v>1184</v>
      </c>
      <c r="W16" s="35" t="s">
        <v>2375</v>
      </c>
      <c r="X16" s="35" t="s">
        <v>499</v>
      </c>
      <c r="Y16" s="37" t="s">
        <v>4071</v>
      </c>
      <c r="Z16" s="39">
        <v>46178</v>
      </c>
      <c r="AA16" s="57">
        <v>46184</v>
      </c>
      <c r="AB16" s="39"/>
      <c r="AC16" s="39">
        <v>46203</v>
      </c>
      <c r="AD16" s="40" t="s">
        <v>4113</v>
      </c>
      <c r="AE16" s="2" t="s">
        <v>4074</v>
      </c>
      <c r="AF16" s="2" t="s">
        <v>3235</v>
      </c>
    </row>
    <row r="17" s="2" customFormat="1" ht="34.7" customHeight="1" spans="1:32">
      <c r="A17" s="34">
        <f t="shared" si="1"/>
        <v>14</v>
      </c>
      <c r="B17" s="35" t="s">
        <v>420</v>
      </c>
      <c r="C17" s="35" t="s">
        <v>4068</v>
      </c>
      <c r="D17" s="35" t="s">
        <v>4114</v>
      </c>
      <c r="E17" s="35" t="s">
        <v>4115</v>
      </c>
      <c r="F17" s="36">
        <v>46100</v>
      </c>
      <c r="G17" s="36">
        <v>46184</v>
      </c>
      <c r="H17" s="36">
        <v>46184</v>
      </c>
      <c r="I17" s="36">
        <v>46153</v>
      </c>
      <c r="J17" s="35">
        <f t="shared" si="0"/>
        <v>3840</v>
      </c>
      <c r="K17" s="35">
        <v>10</v>
      </c>
      <c r="L17" s="37">
        <v>768</v>
      </c>
      <c r="M17" s="37">
        <v>768</v>
      </c>
      <c r="N17" s="37">
        <v>768</v>
      </c>
      <c r="O17" s="37">
        <v>768</v>
      </c>
      <c r="P17" s="37">
        <v>768</v>
      </c>
      <c r="Q17" s="35" t="s">
        <v>499</v>
      </c>
      <c r="R17" s="45" t="s">
        <v>81</v>
      </c>
      <c r="S17" s="35" t="s">
        <v>501</v>
      </c>
      <c r="T17" s="35" t="s">
        <v>501</v>
      </c>
      <c r="U17" s="35" t="s">
        <v>501</v>
      </c>
      <c r="V17" s="38" t="s">
        <v>1184</v>
      </c>
      <c r="W17" s="35" t="s">
        <v>2375</v>
      </c>
      <c r="X17" s="35" t="s">
        <v>499</v>
      </c>
      <c r="Y17" s="37" t="s">
        <v>4071</v>
      </c>
      <c r="Z17" s="39">
        <v>46184</v>
      </c>
      <c r="AA17" s="44">
        <v>46190</v>
      </c>
      <c r="AB17" s="39"/>
      <c r="AC17" s="39">
        <v>46212</v>
      </c>
      <c r="AD17" s="40" t="s">
        <v>4116</v>
      </c>
      <c r="AE17" s="2" t="s">
        <v>4074</v>
      </c>
      <c r="AF17" s="2" t="s">
        <v>3235</v>
      </c>
    </row>
    <row r="18" s="2" customFormat="1" ht="34.7" customHeight="1" spans="1:32">
      <c r="A18" s="34">
        <f t="shared" si="1"/>
        <v>15</v>
      </c>
      <c r="B18" s="35" t="s">
        <v>420</v>
      </c>
      <c r="C18" s="35" t="s">
        <v>4068</v>
      </c>
      <c r="D18" s="35" t="s">
        <v>4117</v>
      </c>
      <c r="E18" s="35" t="s">
        <v>4118</v>
      </c>
      <c r="F18" s="36">
        <v>46093</v>
      </c>
      <c r="G18" s="36">
        <v>46193</v>
      </c>
      <c r="H18" s="36">
        <v>46193</v>
      </c>
      <c r="I18" s="36">
        <v>46153</v>
      </c>
      <c r="J18" s="35">
        <f t="shared" si="0"/>
        <v>3450</v>
      </c>
      <c r="K18" s="35">
        <v>10</v>
      </c>
      <c r="L18" s="35">
        <v>690</v>
      </c>
      <c r="M18" s="35">
        <v>690</v>
      </c>
      <c r="N18" s="35">
        <v>690</v>
      </c>
      <c r="O18" s="35">
        <v>690</v>
      </c>
      <c r="P18" s="35">
        <v>690</v>
      </c>
      <c r="Q18" s="35" t="s">
        <v>499</v>
      </c>
      <c r="R18" s="45" t="s">
        <v>81</v>
      </c>
      <c r="S18" s="35" t="s">
        <v>501</v>
      </c>
      <c r="T18" s="35" t="s">
        <v>501</v>
      </c>
      <c r="U18" s="35" t="s">
        <v>501</v>
      </c>
      <c r="V18" s="38" t="s">
        <v>1184</v>
      </c>
      <c r="W18" s="35" t="s">
        <v>2375</v>
      </c>
      <c r="X18" s="35" t="s">
        <v>499</v>
      </c>
      <c r="Y18" s="37" t="s">
        <v>4071</v>
      </c>
      <c r="Z18" s="39">
        <v>46193</v>
      </c>
      <c r="AA18" s="44">
        <v>46196</v>
      </c>
      <c r="AB18" s="39"/>
      <c r="AC18" s="39">
        <v>46216</v>
      </c>
      <c r="AD18" s="40" t="s">
        <v>4119</v>
      </c>
      <c r="AE18" s="2" t="s">
        <v>4074</v>
      </c>
      <c r="AF18" s="2" t="s">
        <v>2533</v>
      </c>
    </row>
    <row r="19" s="2" customFormat="1" ht="34.7" customHeight="1" spans="1:32">
      <c r="A19" s="34">
        <f t="shared" si="1"/>
        <v>16</v>
      </c>
      <c r="B19" s="35" t="s">
        <v>420</v>
      </c>
      <c r="C19" s="35" t="s">
        <v>4068</v>
      </c>
      <c r="D19" s="35" t="s">
        <v>4120</v>
      </c>
      <c r="E19" s="35" t="s">
        <v>4121</v>
      </c>
      <c r="F19" s="36">
        <v>46093</v>
      </c>
      <c r="G19" s="36">
        <v>46200</v>
      </c>
      <c r="H19" s="36">
        <v>46200</v>
      </c>
      <c r="I19" s="36">
        <v>46153</v>
      </c>
      <c r="J19" s="35">
        <f t="shared" si="0"/>
        <v>4800</v>
      </c>
      <c r="K19" s="35">
        <v>10</v>
      </c>
      <c r="L19" s="35">
        <v>960</v>
      </c>
      <c r="M19" s="35">
        <v>960</v>
      </c>
      <c r="N19" s="35">
        <v>960</v>
      </c>
      <c r="O19" s="35">
        <v>960</v>
      </c>
      <c r="P19" s="35">
        <v>960</v>
      </c>
      <c r="Q19" s="35" t="s">
        <v>1749</v>
      </c>
      <c r="R19" s="45" t="s">
        <v>81</v>
      </c>
      <c r="S19" s="35" t="s">
        <v>526</v>
      </c>
      <c r="T19" s="35" t="s">
        <v>526</v>
      </c>
      <c r="U19" s="35" t="s">
        <v>526</v>
      </c>
      <c r="V19" s="38" t="s">
        <v>1875</v>
      </c>
      <c r="W19" s="35" t="s">
        <v>2375</v>
      </c>
      <c r="X19" s="35" t="s">
        <v>1749</v>
      </c>
      <c r="Y19" s="37" t="s">
        <v>4071</v>
      </c>
      <c r="Z19" s="39">
        <v>46200</v>
      </c>
      <c r="AA19" s="44">
        <v>46196</v>
      </c>
      <c r="AB19" s="39"/>
      <c r="AC19" s="39">
        <v>46217</v>
      </c>
      <c r="AD19" s="40" t="s">
        <v>4122</v>
      </c>
      <c r="AE19" s="2" t="s">
        <v>4074</v>
      </c>
      <c r="AF19" s="2" t="s">
        <v>2533</v>
      </c>
    </row>
    <row r="20" s="2" customFormat="1" ht="34.7" customHeight="1" spans="1:32">
      <c r="A20" s="34">
        <f t="shared" si="1"/>
        <v>17</v>
      </c>
      <c r="B20" s="37" t="s">
        <v>420</v>
      </c>
      <c r="C20" s="37" t="s">
        <v>4068</v>
      </c>
      <c r="D20" s="37" t="s">
        <v>4123</v>
      </c>
      <c r="E20" s="37" t="s">
        <v>4124</v>
      </c>
      <c r="F20" s="36">
        <v>46093</v>
      </c>
      <c r="G20" s="36">
        <v>46205</v>
      </c>
      <c r="H20" s="36">
        <v>46205</v>
      </c>
      <c r="I20" s="36">
        <v>46182</v>
      </c>
      <c r="J20" s="35">
        <f t="shared" si="0"/>
        <v>4130</v>
      </c>
      <c r="K20" s="35">
        <v>10</v>
      </c>
      <c r="L20" s="37">
        <v>826</v>
      </c>
      <c r="M20" s="37">
        <v>826</v>
      </c>
      <c r="N20" s="37">
        <v>826</v>
      </c>
      <c r="O20" s="37">
        <v>826</v>
      </c>
      <c r="P20" s="37">
        <v>826</v>
      </c>
      <c r="Q20" s="35" t="s">
        <v>1749</v>
      </c>
      <c r="R20" s="45" t="s">
        <v>81</v>
      </c>
      <c r="S20" s="35" t="s">
        <v>526</v>
      </c>
      <c r="T20" s="35" t="s">
        <v>526</v>
      </c>
      <c r="U20" s="35" t="s">
        <v>526</v>
      </c>
      <c r="V20" s="38" t="s">
        <v>1875</v>
      </c>
      <c r="W20" s="35" t="s">
        <v>933</v>
      </c>
      <c r="X20" s="35" t="s">
        <v>1749</v>
      </c>
      <c r="Y20" s="37" t="s">
        <v>4071</v>
      </c>
      <c r="Z20" s="39">
        <v>46205</v>
      </c>
      <c r="AA20" s="44">
        <v>46220</v>
      </c>
      <c r="AB20" s="39"/>
      <c r="AC20" s="39">
        <v>46227</v>
      </c>
      <c r="AD20" s="40" t="s">
        <v>4125</v>
      </c>
      <c r="AE20" s="2" t="s">
        <v>4074</v>
      </c>
      <c r="AF20" s="2" t="s">
        <v>1782</v>
      </c>
    </row>
    <row r="21" s="2" customFormat="1" ht="34.7" customHeight="1" spans="1:32">
      <c r="A21" s="34">
        <f t="shared" si="1"/>
        <v>18</v>
      </c>
      <c r="B21" s="37" t="s">
        <v>420</v>
      </c>
      <c r="C21" s="37" t="s">
        <v>4068</v>
      </c>
      <c r="D21" s="37" t="s">
        <v>4126</v>
      </c>
      <c r="E21" s="37" t="s">
        <v>4127</v>
      </c>
      <c r="F21" s="36">
        <v>46093</v>
      </c>
      <c r="G21" s="36">
        <v>46212</v>
      </c>
      <c r="H21" s="36">
        <v>46212</v>
      </c>
      <c r="I21" s="36">
        <v>46182</v>
      </c>
      <c r="J21" s="35">
        <f t="shared" si="0"/>
        <v>5770</v>
      </c>
      <c r="K21" s="35">
        <v>10</v>
      </c>
      <c r="L21" s="37">
        <v>1154</v>
      </c>
      <c r="M21" s="37">
        <v>1154</v>
      </c>
      <c r="N21" s="37">
        <v>1154</v>
      </c>
      <c r="O21" s="37">
        <v>1154</v>
      </c>
      <c r="P21" s="37">
        <v>1154</v>
      </c>
      <c r="Q21" s="35" t="s">
        <v>554</v>
      </c>
      <c r="R21" s="45" t="s">
        <v>81</v>
      </c>
      <c r="S21" s="35" t="s">
        <v>1750</v>
      </c>
      <c r="T21" s="35" t="s">
        <v>1750</v>
      </c>
      <c r="U21" s="35" t="s">
        <v>1750</v>
      </c>
      <c r="V21" s="35" t="s">
        <v>4128</v>
      </c>
      <c r="W21" s="35" t="s">
        <v>933</v>
      </c>
      <c r="X21" s="35" t="s">
        <v>554</v>
      </c>
      <c r="Y21" s="37" t="s">
        <v>4071</v>
      </c>
      <c r="Z21" s="39">
        <v>46212</v>
      </c>
      <c r="AA21" s="44">
        <v>46226</v>
      </c>
      <c r="AB21" s="39"/>
      <c r="AC21" s="39">
        <v>46228</v>
      </c>
      <c r="AD21" s="40" t="s">
        <v>4129</v>
      </c>
      <c r="AE21" s="2" t="s">
        <v>4074</v>
      </c>
      <c r="AF21" s="2" t="s">
        <v>1782</v>
      </c>
    </row>
    <row r="22" s="2" customFormat="1" ht="34.7" customHeight="1" spans="1:32">
      <c r="A22" s="34">
        <f t="shared" si="1"/>
        <v>19</v>
      </c>
      <c r="B22" s="37" t="s">
        <v>420</v>
      </c>
      <c r="C22" s="37" t="s">
        <v>4068</v>
      </c>
      <c r="D22" s="37" t="s">
        <v>4130</v>
      </c>
      <c r="E22" s="37" t="s">
        <v>4131</v>
      </c>
      <c r="F22" s="36">
        <v>46093</v>
      </c>
      <c r="G22" s="36">
        <v>46224</v>
      </c>
      <c r="H22" s="36">
        <v>46224</v>
      </c>
      <c r="I22" s="36">
        <v>46182</v>
      </c>
      <c r="J22" s="35">
        <f t="shared" si="0"/>
        <v>5520</v>
      </c>
      <c r="K22" s="35">
        <v>10</v>
      </c>
      <c r="L22" s="37">
        <v>1104</v>
      </c>
      <c r="M22" s="37">
        <v>1104</v>
      </c>
      <c r="N22" s="37">
        <v>1104</v>
      </c>
      <c r="O22" s="37">
        <v>1104</v>
      </c>
      <c r="P22" s="37">
        <v>1104</v>
      </c>
      <c r="Q22" s="35" t="s">
        <v>554</v>
      </c>
      <c r="R22" s="45" t="s">
        <v>81</v>
      </c>
      <c r="S22" s="35" t="s">
        <v>1750</v>
      </c>
      <c r="T22" s="35" t="s">
        <v>1750</v>
      </c>
      <c r="U22" s="35" t="s">
        <v>1750</v>
      </c>
      <c r="V22" s="35" t="s">
        <v>4128</v>
      </c>
      <c r="W22" s="35" t="s">
        <v>933</v>
      </c>
      <c r="X22" s="35" t="s">
        <v>554</v>
      </c>
      <c r="Y22" s="37" t="s">
        <v>4071</v>
      </c>
      <c r="Z22" s="39">
        <v>46224</v>
      </c>
      <c r="AA22" s="44">
        <v>46238</v>
      </c>
      <c r="AB22" s="39"/>
      <c r="AC22" s="39">
        <v>46239</v>
      </c>
      <c r="AD22" s="40" t="s">
        <v>4132</v>
      </c>
      <c r="AE22" s="2" t="s">
        <v>4074</v>
      </c>
      <c r="AF22" s="2" t="s">
        <v>1782</v>
      </c>
    </row>
    <row r="23" s="2" customFormat="1" ht="34.7" customHeight="1" spans="1:32">
      <c r="A23" s="34">
        <f t="shared" si="1"/>
        <v>20</v>
      </c>
      <c r="B23" s="37" t="s">
        <v>420</v>
      </c>
      <c r="C23" s="37" t="s">
        <v>4068</v>
      </c>
      <c r="D23" s="37" t="s">
        <v>4133</v>
      </c>
      <c r="E23" s="37" t="s">
        <v>4134</v>
      </c>
      <c r="F23" s="36">
        <v>46093</v>
      </c>
      <c r="G23" s="36">
        <v>46224</v>
      </c>
      <c r="H23" s="36">
        <v>46224</v>
      </c>
      <c r="I23" s="36">
        <v>46182</v>
      </c>
      <c r="J23" s="35">
        <f t="shared" si="0"/>
        <v>7680</v>
      </c>
      <c r="K23" s="35">
        <v>10</v>
      </c>
      <c r="L23" s="37">
        <v>1536</v>
      </c>
      <c r="M23" s="37">
        <v>1536</v>
      </c>
      <c r="N23" s="37">
        <v>1536</v>
      </c>
      <c r="O23" s="37">
        <v>1536</v>
      </c>
      <c r="P23" s="37">
        <v>1536</v>
      </c>
      <c r="Q23" s="35" t="s">
        <v>554</v>
      </c>
      <c r="R23" s="45" t="s">
        <v>81</v>
      </c>
      <c r="S23" s="35" t="s">
        <v>1750</v>
      </c>
      <c r="T23" s="35" t="s">
        <v>1750</v>
      </c>
      <c r="U23" s="35" t="s">
        <v>1750</v>
      </c>
      <c r="V23" s="35" t="s">
        <v>4128</v>
      </c>
      <c r="W23" s="35" t="s">
        <v>933</v>
      </c>
      <c r="X23" s="35" t="s">
        <v>554</v>
      </c>
      <c r="Y23" s="37" t="s">
        <v>4071</v>
      </c>
      <c r="Z23" s="39">
        <v>46224</v>
      </c>
      <c r="AA23" s="44">
        <v>46239</v>
      </c>
      <c r="AB23" s="39"/>
      <c r="AC23" s="39">
        <v>46251</v>
      </c>
      <c r="AD23" s="40" t="s">
        <v>4135</v>
      </c>
      <c r="AE23" s="2" t="s">
        <v>4074</v>
      </c>
      <c r="AF23" s="2" t="s">
        <v>1782</v>
      </c>
    </row>
    <row r="24" s="2" customFormat="1" ht="34.7" customHeight="1" spans="1:32">
      <c r="A24" s="34">
        <f t="shared" si="1"/>
        <v>21</v>
      </c>
      <c r="B24" s="37" t="s">
        <v>420</v>
      </c>
      <c r="C24" s="37" t="s">
        <v>4068</v>
      </c>
      <c r="D24" s="37" t="s">
        <v>4136</v>
      </c>
      <c r="E24" s="37" t="s">
        <v>4137</v>
      </c>
      <c r="F24" s="36">
        <v>46093</v>
      </c>
      <c r="G24" s="36">
        <v>46237</v>
      </c>
      <c r="H24" s="36">
        <v>46237</v>
      </c>
      <c r="I24" s="36">
        <v>46209</v>
      </c>
      <c r="J24" s="35">
        <f>SUBTOTAL(9,L24:P24)</f>
        <v>10330</v>
      </c>
      <c r="K24" s="35">
        <v>10</v>
      </c>
      <c r="L24" s="37">
        <v>2066</v>
      </c>
      <c r="M24" s="37">
        <v>2066</v>
      </c>
      <c r="N24" s="37">
        <v>2066</v>
      </c>
      <c r="O24" s="37">
        <v>2066</v>
      </c>
      <c r="P24" s="37">
        <v>2066</v>
      </c>
      <c r="Q24" s="35" t="s">
        <v>554</v>
      </c>
      <c r="R24" s="45" t="s">
        <v>81</v>
      </c>
      <c r="S24" s="35" t="s">
        <v>4138</v>
      </c>
      <c r="T24" s="35" t="s">
        <v>4138</v>
      </c>
      <c r="U24" s="35" t="s">
        <v>4138</v>
      </c>
      <c r="V24" s="35" t="s">
        <v>1207</v>
      </c>
      <c r="W24" s="35" t="s">
        <v>603</v>
      </c>
      <c r="X24" s="35" t="s">
        <v>554</v>
      </c>
      <c r="Y24" s="37" t="s">
        <v>4071</v>
      </c>
      <c r="Z24" s="39">
        <v>46237</v>
      </c>
      <c r="AA24" s="39">
        <v>46245</v>
      </c>
      <c r="AB24" s="39"/>
      <c r="AC24" s="39">
        <v>46257</v>
      </c>
      <c r="AD24" s="40" t="s">
        <v>4139</v>
      </c>
      <c r="AE24" s="2" t="s">
        <v>4074</v>
      </c>
      <c r="AF24" s="2" t="s">
        <v>1802</v>
      </c>
    </row>
    <row r="25" s="2" customFormat="1" ht="34.7" customHeight="1" spans="1:32">
      <c r="A25" s="34">
        <f t="shared" si="1"/>
        <v>22</v>
      </c>
      <c r="B25" s="37" t="s">
        <v>420</v>
      </c>
      <c r="C25" s="37" t="s">
        <v>4068</v>
      </c>
      <c r="D25" s="37" t="s">
        <v>4140</v>
      </c>
      <c r="E25" s="37" t="s">
        <v>4141</v>
      </c>
      <c r="F25" s="36">
        <v>46093</v>
      </c>
      <c r="G25" s="36">
        <v>46244</v>
      </c>
      <c r="H25" s="36">
        <v>46244</v>
      </c>
      <c r="I25" s="36">
        <v>46209</v>
      </c>
      <c r="J25" s="35">
        <f>SUBTOTAL(9,L25:P25)</f>
        <v>14420</v>
      </c>
      <c r="K25" s="35">
        <v>10</v>
      </c>
      <c r="L25" s="37">
        <v>2884</v>
      </c>
      <c r="M25" s="37">
        <v>2884</v>
      </c>
      <c r="N25" s="37">
        <v>2884</v>
      </c>
      <c r="O25" s="37">
        <v>2884</v>
      </c>
      <c r="P25" s="37">
        <v>2884</v>
      </c>
      <c r="Q25" s="35" t="s">
        <v>1600</v>
      </c>
      <c r="R25" s="45" t="s">
        <v>81</v>
      </c>
      <c r="S25" s="35" t="s">
        <v>4138</v>
      </c>
      <c r="T25" s="35" t="s">
        <v>4138</v>
      </c>
      <c r="U25" s="35" t="s">
        <v>4138</v>
      </c>
      <c r="V25" s="35" t="s">
        <v>1207</v>
      </c>
      <c r="W25" s="35" t="s">
        <v>603</v>
      </c>
      <c r="X25" s="35" t="s">
        <v>1600</v>
      </c>
      <c r="Y25" s="37" t="s">
        <v>4071</v>
      </c>
      <c r="Z25" s="39">
        <v>46244</v>
      </c>
      <c r="AA25" s="39">
        <v>46247</v>
      </c>
      <c r="AB25" s="39"/>
      <c r="AC25" s="39">
        <v>46270</v>
      </c>
      <c r="AD25" s="40" t="s">
        <v>4142</v>
      </c>
      <c r="AE25" s="2" t="s">
        <v>4074</v>
      </c>
      <c r="AF25" s="2" t="s">
        <v>1802</v>
      </c>
    </row>
    <row r="26" s="2" customFormat="1" ht="34.7" customHeight="1" spans="1:32">
      <c r="A26" s="34">
        <f t="shared" si="1"/>
        <v>23</v>
      </c>
      <c r="B26" s="37" t="s">
        <v>420</v>
      </c>
      <c r="C26" s="37" t="s">
        <v>4068</v>
      </c>
      <c r="D26" s="37" t="s">
        <v>4143</v>
      </c>
      <c r="E26" s="37" t="s">
        <v>4144</v>
      </c>
      <c r="F26" s="36">
        <v>46093</v>
      </c>
      <c r="G26" s="36">
        <v>46251</v>
      </c>
      <c r="H26" s="36">
        <v>46252</v>
      </c>
      <c r="I26" s="36">
        <v>46209</v>
      </c>
      <c r="J26" s="35">
        <f>SUBTOTAL(9,L26:P26)</f>
        <v>13090</v>
      </c>
      <c r="K26" s="35">
        <v>10</v>
      </c>
      <c r="L26" s="37">
        <v>2618</v>
      </c>
      <c r="M26" s="37">
        <v>2618</v>
      </c>
      <c r="N26" s="37">
        <v>2618</v>
      </c>
      <c r="O26" s="37">
        <v>2618</v>
      </c>
      <c r="P26" s="37">
        <v>2618</v>
      </c>
      <c r="Q26" s="35" t="s">
        <v>1600</v>
      </c>
      <c r="R26" s="45" t="s">
        <v>81</v>
      </c>
      <c r="S26" s="35" t="s">
        <v>4138</v>
      </c>
      <c r="T26" s="35" t="s">
        <v>4138</v>
      </c>
      <c r="U26" s="35" t="s">
        <v>4138</v>
      </c>
      <c r="V26" s="35" t="s">
        <v>1207</v>
      </c>
      <c r="W26" s="35" t="s">
        <v>603</v>
      </c>
      <c r="X26" s="35" t="s">
        <v>1600</v>
      </c>
      <c r="Y26" s="37" t="s">
        <v>4071</v>
      </c>
      <c r="Z26" s="39">
        <v>46251</v>
      </c>
      <c r="AA26" s="39">
        <v>46253</v>
      </c>
      <c r="AB26" s="39"/>
      <c r="AC26" s="39">
        <v>46269</v>
      </c>
      <c r="AD26" s="40" t="s">
        <v>4145</v>
      </c>
      <c r="AE26" s="2" t="s">
        <v>4074</v>
      </c>
      <c r="AF26" s="2" t="s">
        <v>1802</v>
      </c>
    </row>
    <row r="27" s="2" customFormat="1" ht="34.7" customHeight="1" spans="1:32">
      <c r="A27" s="59">
        <f t="shared" si="1"/>
        <v>24</v>
      </c>
      <c r="B27" s="60"/>
      <c r="C27" s="60"/>
      <c r="D27" s="60"/>
      <c r="E27" s="60"/>
      <c r="F27" s="61"/>
      <c r="G27" s="61"/>
      <c r="H27" s="61"/>
      <c r="I27" s="61"/>
      <c r="J27" s="60"/>
      <c r="K27" s="60"/>
      <c r="L27" s="66"/>
      <c r="M27" s="66"/>
      <c r="N27" s="66"/>
      <c r="O27" s="66"/>
      <c r="P27" s="66"/>
      <c r="Q27" s="63"/>
      <c r="R27" s="63"/>
      <c r="S27" s="60"/>
      <c r="T27" s="60"/>
      <c r="U27" s="60"/>
      <c r="V27" s="60"/>
      <c r="W27" s="60"/>
      <c r="X27" s="60"/>
      <c r="Y27" s="60"/>
      <c r="Z27" s="67"/>
      <c r="AA27" s="68"/>
      <c r="AB27" s="68"/>
      <c r="AC27" s="68"/>
      <c r="AD27" s="70"/>
    </row>
    <row r="28" s="2" customFormat="1" ht="34.7" customHeight="1" spans="1:32">
      <c r="A28" s="59"/>
      <c r="B28" s="60"/>
      <c r="C28" s="60"/>
      <c r="D28" s="60"/>
      <c r="E28" s="60"/>
      <c r="F28" s="61"/>
      <c r="G28" s="61"/>
      <c r="H28" s="61"/>
      <c r="I28" s="61"/>
      <c r="J28" s="60"/>
      <c r="K28" s="60"/>
      <c r="L28" s="66"/>
      <c r="M28" s="66"/>
      <c r="N28" s="66"/>
      <c r="O28" s="66"/>
      <c r="P28" s="66"/>
      <c r="Q28" s="63"/>
      <c r="R28" s="63"/>
      <c r="S28" s="60"/>
      <c r="T28" s="60"/>
      <c r="U28" s="60"/>
      <c r="V28" s="60"/>
      <c r="W28" s="60"/>
      <c r="X28" s="60"/>
      <c r="Y28" s="60"/>
      <c r="Z28" s="67"/>
      <c r="AA28" s="68"/>
      <c r="AB28" s="68"/>
      <c r="AC28" s="68"/>
      <c r="AD28" s="70"/>
    </row>
    <row r="29" s="2" customFormat="1" ht="34.7" customHeight="1" spans="1:32">
      <c r="A29" s="59"/>
      <c r="B29" s="60"/>
      <c r="C29" s="60"/>
      <c r="D29" s="60"/>
      <c r="E29" s="60"/>
      <c r="F29" s="61"/>
      <c r="G29" s="61"/>
      <c r="H29" s="61"/>
      <c r="I29" s="61"/>
      <c r="J29" s="60"/>
      <c r="K29" s="60"/>
      <c r="L29" s="66"/>
      <c r="M29" s="66"/>
      <c r="N29" s="66"/>
      <c r="O29" s="66"/>
      <c r="P29" s="66"/>
      <c r="Q29" s="63"/>
      <c r="R29" s="63"/>
      <c r="S29" s="60"/>
      <c r="T29" s="60"/>
      <c r="U29" s="60"/>
      <c r="V29" s="60"/>
      <c r="W29" s="60"/>
      <c r="X29" s="60"/>
      <c r="Y29" s="60"/>
      <c r="Z29" s="67"/>
      <c r="AA29" s="68"/>
      <c r="AB29" s="68"/>
      <c r="AC29" s="68"/>
      <c r="AD29" s="70"/>
    </row>
    <row r="30" s="2" customFormat="1" ht="34.7" customHeight="1" spans="1:32">
      <c r="A30" s="59">
        <f>ROW()-3</f>
        <v>27</v>
      </c>
      <c r="B30" s="60"/>
      <c r="C30" s="60"/>
      <c r="D30" s="60"/>
      <c r="E30" s="60"/>
      <c r="F30" s="61"/>
      <c r="G30" s="61"/>
      <c r="H30" s="61"/>
      <c r="I30" s="61"/>
      <c r="J30" s="60"/>
      <c r="K30" s="60"/>
      <c r="L30" s="66"/>
      <c r="M30" s="66"/>
      <c r="N30" s="66"/>
      <c r="O30" s="66"/>
      <c r="P30" s="66"/>
      <c r="Q30" s="60"/>
      <c r="R30" s="60"/>
      <c r="S30" s="60"/>
      <c r="T30" s="60"/>
      <c r="U30" s="60"/>
      <c r="V30" s="60"/>
      <c r="W30" s="60"/>
      <c r="X30" s="60"/>
      <c r="Y30" s="60"/>
      <c r="Z30" s="68"/>
      <c r="AA30" s="68"/>
      <c r="AB30" s="68"/>
      <c r="AC30" s="68"/>
      <c r="AD30" s="70"/>
    </row>
    <row r="31" s="3" customFormat="1" ht="17.1" customHeight="1" spans="1:32">
      <c r="A31" s="93" t="s">
        <v>66</v>
      </c>
      <c r="B31" s="94"/>
      <c r="C31" s="94"/>
      <c r="D31" s="94"/>
      <c r="E31" s="94"/>
      <c r="F31" s="94"/>
      <c r="G31" s="94"/>
      <c r="H31" s="94"/>
      <c r="I31" s="94"/>
      <c r="J31" s="95">
        <f>SUM(J4:J30)</f>
        <v>140450</v>
      </c>
      <c r="K31" s="95"/>
      <c r="L31" s="95">
        <f>SUM(L4:L30)</f>
        <v>28090</v>
      </c>
      <c r="M31" s="95">
        <f>SUM(M4:M30)</f>
        <v>28090</v>
      </c>
      <c r="N31" s="95">
        <f>SUM(N4:N30)</f>
        <v>28090</v>
      </c>
      <c r="O31" s="95">
        <f>SUM(O4:O30)</f>
        <v>28090</v>
      </c>
      <c r="P31" s="95">
        <f>SUM(P4:P30)</f>
        <v>28090</v>
      </c>
      <c r="Q31" s="96"/>
      <c r="R31" s="96"/>
      <c r="S31" s="96"/>
      <c r="T31" s="96"/>
      <c r="U31" s="96"/>
      <c r="V31" s="96"/>
      <c r="W31" s="96"/>
      <c r="X31" s="96"/>
      <c r="Y31" s="97"/>
      <c r="Z31" s="97"/>
      <c r="AA31" s="97"/>
      <c r="AB31" s="97"/>
      <c r="AC31" s="97"/>
      <c r="AD31" s="98"/>
    </row>
    <row r="32" s="4" customFormat="1" ht="17.1" customHeight="1" spans="1:32">
      <c r="A32" s="99"/>
      <c r="B32" s="100"/>
      <c r="C32" s="100"/>
      <c r="D32" s="100"/>
      <c r="E32" s="100"/>
      <c r="F32" s="100"/>
      <c r="G32" s="100"/>
      <c r="H32" s="100"/>
      <c r="I32" s="100"/>
      <c r="J32" s="134">
        <f>SUM(L32:P32)</f>
        <v>140450</v>
      </c>
      <c r="K32" s="100"/>
      <c r="L32" s="100">
        <f t="shared" ref="L32:P32" si="2">1432+11500+1320+1650+4620+7568</f>
        <v>28090</v>
      </c>
      <c r="M32" s="100">
        <f t="shared" si="2"/>
        <v>28090</v>
      </c>
      <c r="N32" s="100">
        <f t="shared" si="2"/>
        <v>28090</v>
      </c>
      <c r="O32" s="100">
        <f t="shared" si="2"/>
        <v>28090</v>
      </c>
      <c r="P32" s="100">
        <f t="shared" si="2"/>
        <v>28090</v>
      </c>
      <c r="Q32" s="100"/>
      <c r="R32" s="100"/>
      <c r="S32" s="100"/>
      <c r="T32" s="100"/>
      <c r="U32" s="100"/>
      <c r="V32" s="100"/>
      <c r="W32" s="100"/>
      <c r="X32" s="100"/>
      <c r="Y32" s="100"/>
      <c r="Z32" s="101"/>
      <c r="AA32" s="101"/>
      <c r="AB32" s="101"/>
      <c r="AC32" s="101"/>
      <c r="AD32" s="102"/>
    </row>
    <row r="33" s="4" customFormat="1" ht="17.1" customHeight="1" spans="1:30">
      <c r="A33" s="103" t="s">
        <v>67</v>
      </c>
      <c r="B33" s="104"/>
      <c r="C33" s="104"/>
      <c r="D33" s="104"/>
      <c r="E33" s="104"/>
      <c r="F33" s="104"/>
      <c r="G33" s="104"/>
      <c r="H33" s="104"/>
      <c r="I33" s="104"/>
      <c r="J33" s="105">
        <f>SUM(L33:P33)</f>
        <v>0</v>
      </c>
      <c r="K33" s="104"/>
      <c r="L33" s="106">
        <f>L32-L31</f>
        <v>0</v>
      </c>
      <c r="M33" s="106">
        <f>M32-M31</f>
        <v>0</v>
      </c>
      <c r="N33" s="106">
        <f>N32-N31</f>
        <v>0</v>
      </c>
      <c r="O33" s="106">
        <f>O32-O31</f>
        <v>0</v>
      </c>
      <c r="P33" s="106">
        <f>P32-P31</f>
        <v>0</v>
      </c>
      <c r="Q33" s="107"/>
      <c r="R33" s="107"/>
      <c r="S33" s="107"/>
      <c r="T33" s="107"/>
      <c r="U33" s="107"/>
      <c r="V33" s="107"/>
      <c r="W33" s="107"/>
      <c r="X33" s="107"/>
      <c r="Y33" s="107"/>
      <c r="Z33" s="108"/>
      <c r="AA33" s="108"/>
      <c r="AB33" s="108"/>
      <c r="AC33" s="108"/>
      <c r="AD33" s="109"/>
    </row>
    <row r="34" customFormat="1" spans="1:30">
      <c r="B34" s="110" t="s">
        <v>68</v>
      </c>
      <c r="C34" s="110"/>
      <c r="D34" s="111"/>
      <c r="E34" s="111"/>
      <c r="F34" s="112"/>
      <c r="G34" s="112"/>
      <c r="H34" s="112"/>
      <c r="I34" s="112"/>
      <c r="Z34" s="113"/>
      <c r="AA34" s="113"/>
      <c r="AB34" s="113"/>
      <c r="AC34" s="114"/>
    </row>
  </sheetData>
  <autoFilter xmlns:etc="http://www.wps.cn/officeDocument/2017/etCustomData" ref="A3:AF34" etc:filterBottomFollowUsedRange="0">
    <extLst/>
  </autoFilter>
  <mergeCells count="32">
    <mergeCell ref="A1:Z1"/>
    <mergeCell ref="AA1:AB1"/>
    <mergeCell ref="AC1:AD1"/>
    <mergeCell ref="L2:P2"/>
    <mergeCell ref="A31:I31"/>
    <mergeCell ref="A32:I32"/>
    <mergeCell ref="A33:I3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33:P33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80" orientation="landscape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AF39"/>
  <sheetViews>
    <sheetView workbookViewId="0">
      <pane xSplit="11" ySplit="3" topLeftCell="M4" activePane="bottomRight" state="frozen"/>
      <selection/>
      <selection pane="topRight"/>
      <selection pane="bottomLeft"/>
      <selection pane="bottomRight" activeCell="R35" sqref="R35"/>
    </sheetView>
  </sheetViews>
  <sheetFormatPr defaultColWidth="9" defaultRowHeight="14.25"/>
  <cols>
    <col min="1" max="1" width="3.125" style="6" customWidth="1"/>
    <col min="2" max="2" width="8.125" style="6" customWidth="1"/>
    <col min="3" max="3" width="7.375" style="6" customWidth="1"/>
    <col min="4" max="4" width="11.5" style="6" customWidth="1"/>
    <col min="5" max="5" width="8.75" style="6" customWidth="1"/>
    <col min="6" max="9" width="6.125" style="7" customWidth="1"/>
    <col min="10" max="10" width="8.375" style="6" customWidth="1"/>
    <col min="11" max="11" width="4.875" style="6" customWidth="1"/>
    <col min="12" max="16" width="6.125" style="6" customWidth="1"/>
    <col min="17" max="17" width="8" style="6" customWidth="1"/>
    <col min="18" max="18" width="5.125" style="6" customWidth="1"/>
    <col min="19" max="21" width="5.875" style="6" customWidth="1"/>
    <col min="22" max="23" width="6" style="6" customWidth="1"/>
    <col min="24" max="24" width="7.875" style="6" customWidth="1"/>
    <col min="25" max="25" width="22.125" style="6" customWidth="1"/>
    <col min="26" max="26" width="9.125" style="8"/>
    <col min="27" max="27" width="8.25" style="8" customWidth="1"/>
    <col min="28" max="28" width="8.875" style="8" customWidth="1"/>
    <col min="29" max="29" width="9" style="8" customWidth="1"/>
    <col min="30" max="30" width="14" style="6" customWidth="1"/>
    <col min="31" max="31" width="18.125" style="6" customWidth="1"/>
    <col min="32" max="16384" width="9" style="6"/>
  </cols>
  <sheetData>
    <row r="1" ht="35.1" customHeight="1" spans="1:32">
      <c r="A1" s="9" t="s">
        <v>4146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46277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20" t="s">
        <v>15</v>
      </c>
      <c r="S2" s="21" t="s">
        <v>4020</v>
      </c>
      <c r="T2" s="22" t="s">
        <v>1082</v>
      </c>
      <c r="U2" s="22" t="s">
        <v>1081</v>
      </c>
      <c r="V2" s="23" t="s">
        <v>4021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4032</v>
      </c>
      <c r="M3" s="30" t="s">
        <v>4033</v>
      </c>
      <c r="N3" s="30" t="s">
        <v>4034</v>
      </c>
      <c r="O3" s="30" t="s">
        <v>4035</v>
      </c>
      <c r="P3" s="30" t="s">
        <v>4036</v>
      </c>
      <c r="Q3" s="19"/>
      <c r="R3" s="31"/>
      <c r="S3" s="21"/>
      <c r="T3" s="32"/>
      <c r="U3" s="32"/>
      <c r="V3" s="33"/>
      <c r="W3" s="21"/>
      <c r="X3" s="21"/>
      <c r="Y3" s="24"/>
      <c r="Z3" s="25"/>
      <c r="AA3" s="26"/>
      <c r="AB3" s="26"/>
      <c r="AC3" s="26"/>
      <c r="AD3" s="27"/>
    </row>
    <row r="4" s="2" customFormat="1" ht="33.6" hidden="1" customHeight="1" spans="1:32">
      <c r="A4" s="34">
        <f>ROW()-3</f>
        <v>1</v>
      </c>
      <c r="B4" s="35" t="s">
        <v>420</v>
      </c>
      <c r="C4" s="35" t="s">
        <v>4068</v>
      </c>
      <c r="D4" s="35" t="s">
        <v>4069</v>
      </c>
      <c r="E4" s="35" t="s">
        <v>4070</v>
      </c>
      <c r="F4" s="36">
        <v>46050</v>
      </c>
      <c r="G4" s="36">
        <v>46135</v>
      </c>
      <c r="H4" s="36">
        <v>46135</v>
      </c>
      <c r="I4" s="36">
        <v>46105</v>
      </c>
      <c r="J4" s="35">
        <f>SUBTOTAL(9,L4:P4)</f>
        <v>0</v>
      </c>
      <c r="K4" s="35">
        <v>10</v>
      </c>
      <c r="L4" s="37">
        <v>130</v>
      </c>
      <c r="M4" s="37">
        <v>130</v>
      </c>
      <c r="N4" s="37">
        <v>130</v>
      </c>
      <c r="O4" s="37">
        <v>130</v>
      </c>
      <c r="P4" s="37">
        <v>130</v>
      </c>
      <c r="Q4" s="35" t="s">
        <v>127</v>
      </c>
      <c r="R4" s="46" t="s">
        <v>81</v>
      </c>
      <c r="S4" s="38" t="s">
        <v>730</v>
      </c>
      <c r="T4" s="38" t="s">
        <v>3735</v>
      </c>
      <c r="U4" s="38" t="s">
        <v>730</v>
      </c>
      <c r="V4" s="38" t="s">
        <v>3735</v>
      </c>
      <c r="W4" s="35" t="s">
        <v>4083</v>
      </c>
      <c r="X4" s="35" t="s">
        <v>127</v>
      </c>
      <c r="Y4" s="37" t="s">
        <v>4071</v>
      </c>
      <c r="Z4" s="39">
        <v>46135</v>
      </c>
      <c r="AA4" s="44" t="s">
        <v>4072</v>
      </c>
      <c r="AB4" s="39"/>
      <c r="AC4" s="39">
        <v>46155</v>
      </c>
      <c r="AD4" s="40" t="s">
        <v>4073</v>
      </c>
      <c r="AE4" s="41" t="s">
        <v>4147</v>
      </c>
      <c r="AF4" s="2" t="s">
        <v>4148</v>
      </c>
    </row>
    <row r="5" s="2" customFormat="1" ht="33.6" hidden="1" customHeight="1" spans="1:32">
      <c r="A5" s="34">
        <f t="shared" ref="A5:A35" si="0">ROW()-3</f>
        <v>2</v>
      </c>
      <c r="B5" s="35" t="s">
        <v>420</v>
      </c>
      <c r="C5" s="35" t="s">
        <v>4068</v>
      </c>
      <c r="D5" s="35" t="s">
        <v>4075</v>
      </c>
      <c r="E5" s="35" t="s">
        <v>4076</v>
      </c>
      <c r="F5" s="36">
        <v>46050</v>
      </c>
      <c r="G5" s="36">
        <v>46135</v>
      </c>
      <c r="H5" s="36">
        <v>46135</v>
      </c>
      <c r="I5" s="36">
        <v>46105</v>
      </c>
      <c r="J5" s="35">
        <f>SUBTOTAL(9,L5:P5)</f>
        <v>0</v>
      </c>
      <c r="K5" s="35">
        <v>10</v>
      </c>
      <c r="L5" s="37">
        <v>734</v>
      </c>
      <c r="M5" s="37">
        <v>734</v>
      </c>
      <c r="N5" s="37">
        <v>734</v>
      </c>
      <c r="O5" s="37">
        <v>734</v>
      </c>
      <c r="P5" s="37">
        <v>734</v>
      </c>
      <c r="Q5" s="35" t="s">
        <v>127</v>
      </c>
      <c r="R5" s="46" t="s">
        <v>81</v>
      </c>
      <c r="S5" s="38" t="s">
        <v>730</v>
      </c>
      <c r="T5" s="38" t="s">
        <v>3735</v>
      </c>
      <c r="U5" s="38" t="s">
        <v>730</v>
      </c>
      <c r="V5" s="38" t="s">
        <v>3735</v>
      </c>
      <c r="W5" s="35" t="s">
        <v>4083</v>
      </c>
      <c r="X5" s="35" t="s">
        <v>127</v>
      </c>
      <c r="Y5" s="37" t="s">
        <v>4071</v>
      </c>
      <c r="Z5" s="39">
        <v>46135</v>
      </c>
      <c r="AA5" s="44">
        <v>46135</v>
      </c>
      <c r="AB5" s="39"/>
      <c r="AC5" s="39">
        <v>46153</v>
      </c>
      <c r="AD5" s="40" t="s">
        <v>4077</v>
      </c>
      <c r="AE5" s="41" t="s">
        <v>4147</v>
      </c>
      <c r="AF5" s="2" t="s">
        <v>4148</v>
      </c>
    </row>
    <row r="6" s="2" customFormat="1" ht="33.6" hidden="1" customHeight="1" spans="1:32">
      <c r="A6" s="34">
        <f t="shared" si="0"/>
        <v>3</v>
      </c>
      <c r="B6" s="35" t="s">
        <v>420</v>
      </c>
      <c r="C6" s="35" t="s">
        <v>4068</v>
      </c>
      <c r="D6" s="35" t="s">
        <v>4078</v>
      </c>
      <c r="E6" s="35" t="s">
        <v>4079</v>
      </c>
      <c r="F6" s="36">
        <v>46081</v>
      </c>
      <c r="G6" s="36">
        <v>46148</v>
      </c>
      <c r="H6" s="36">
        <v>46148</v>
      </c>
      <c r="I6" s="36">
        <v>46105</v>
      </c>
      <c r="J6" s="35">
        <f t="shared" ref="J6:J23" si="1">SUM(L6:P6)</f>
        <v>15490</v>
      </c>
      <c r="K6" s="35">
        <v>10</v>
      </c>
      <c r="L6" s="35">
        <v>3098</v>
      </c>
      <c r="M6" s="35">
        <v>3098</v>
      </c>
      <c r="N6" s="35">
        <v>3098</v>
      </c>
      <c r="O6" s="35">
        <v>3098</v>
      </c>
      <c r="P6" s="35">
        <v>3098</v>
      </c>
      <c r="Q6" s="35" t="s">
        <v>127</v>
      </c>
      <c r="R6" s="46" t="s">
        <v>81</v>
      </c>
      <c r="S6" s="38" t="s">
        <v>730</v>
      </c>
      <c r="T6" s="38" t="s">
        <v>3735</v>
      </c>
      <c r="U6" s="38" t="s">
        <v>730</v>
      </c>
      <c r="V6" s="38" t="s">
        <v>3735</v>
      </c>
      <c r="W6" s="35" t="s">
        <v>4083</v>
      </c>
      <c r="X6" s="35" t="s">
        <v>127</v>
      </c>
      <c r="Y6" s="37" t="s">
        <v>4071</v>
      </c>
      <c r="Z6" s="39">
        <v>46148</v>
      </c>
      <c r="AA6" s="39">
        <v>46150</v>
      </c>
      <c r="AB6" s="39"/>
      <c r="AC6" s="39">
        <v>46158</v>
      </c>
      <c r="AD6" s="40" t="s">
        <v>4080</v>
      </c>
      <c r="AE6" s="2" t="s">
        <v>4147</v>
      </c>
      <c r="AF6" s="2" t="s">
        <v>4148</v>
      </c>
    </row>
    <row r="7" s="2" customFormat="1" ht="33.6" hidden="1" customHeight="1" spans="1:32">
      <c r="A7" s="47">
        <f t="shared" si="0"/>
        <v>4</v>
      </c>
      <c r="B7" s="37" t="s">
        <v>420</v>
      </c>
      <c r="C7" s="37" t="s">
        <v>4068</v>
      </c>
      <c r="D7" s="37" t="s">
        <v>4149</v>
      </c>
      <c r="E7" s="37" t="s">
        <v>4150</v>
      </c>
      <c r="F7" s="56">
        <v>46081</v>
      </c>
      <c r="G7" s="56">
        <v>46148</v>
      </c>
      <c r="H7" s="56">
        <v>46148</v>
      </c>
      <c r="I7" s="56">
        <v>46105</v>
      </c>
      <c r="J7" s="37">
        <f t="shared" si="1"/>
        <v>9860</v>
      </c>
      <c r="K7" s="37">
        <v>10</v>
      </c>
      <c r="L7" s="37">
        <v>1972</v>
      </c>
      <c r="M7" s="37">
        <v>1972</v>
      </c>
      <c r="N7" s="37">
        <v>1972</v>
      </c>
      <c r="O7" s="37">
        <v>1972</v>
      </c>
      <c r="P7" s="37">
        <v>1972</v>
      </c>
      <c r="Q7" s="37" t="s">
        <v>127</v>
      </c>
      <c r="R7" s="46" t="s">
        <v>81</v>
      </c>
      <c r="S7" s="54" t="s">
        <v>730</v>
      </c>
      <c r="T7" s="54" t="s">
        <v>3735</v>
      </c>
      <c r="U7" s="54" t="s">
        <v>730</v>
      </c>
      <c r="V7" s="54" t="s">
        <v>3735</v>
      </c>
      <c r="W7" s="37" t="s">
        <v>1869</v>
      </c>
      <c r="X7" s="37" t="s">
        <v>127</v>
      </c>
      <c r="Y7" s="37" t="s">
        <v>4071</v>
      </c>
      <c r="Z7" s="44">
        <v>46148</v>
      </c>
      <c r="AA7" s="44">
        <v>46150</v>
      </c>
      <c r="AB7" s="44"/>
      <c r="AC7" s="44">
        <v>46158</v>
      </c>
      <c r="AD7" s="55" t="s">
        <v>4151</v>
      </c>
      <c r="AE7" s="2" t="s">
        <v>4147</v>
      </c>
      <c r="AF7" s="2" t="s">
        <v>4148</v>
      </c>
    </row>
    <row r="8" s="2" customFormat="1" ht="33.6" hidden="1" customHeight="1" spans="1:32">
      <c r="A8" s="47">
        <f t="shared" si="0"/>
        <v>5</v>
      </c>
      <c r="B8" s="37" t="s">
        <v>420</v>
      </c>
      <c r="C8" s="37" t="s">
        <v>4068</v>
      </c>
      <c r="D8" s="37" t="s">
        <v>4152</v>
      </c>
      <c r="E8" s="37" t="s">
        <v>4153</v>
      </c>
      <c r="F8" s="56">
        <v>46080</v>
      </c>
      <c r="G8" s="56">
        <v>46148</v>
      </c>
      <c r="H8" s="56">
        <v>46148</v>
      </c>
      <c r="I8" s="56">
        <v>46105</v>
      </c>
      <c r="J8" s="37">
        <f t="shared" si="1"/>
        <v>3820</v>
      </c>
      <c r="K8" s="37">
        <v>10</v>
      </c>
      <c r="L8" s="37">
        <v>764</v>
      </c>
      <c r="M8" s="37">
        <v>764</v>
      </c>
      <c r="N8" s="37">
        <v>764</v>
      </c>
      <c r="O8" s="37">
        <v>764</v>
      </c>
      <c r="P8" s="37">
        <v>764</v>
      </c>
      <c r="Q8" s="37" t="s">
        <v>2495</v>
      </c>
      <c r="R8" s="46" t="s">
        <v>81</v>
      </c>
      <c r="S8" s="37" t="s">
        <v>4154</v>
      </c>
      <c r="T8" s="54" t="s">
        <v>3735</v>
      </c>
      <c r="U8" s="37" t="s">
        <v>4154</v>
      </c>
      <c r="V8" s="54" t="s">
        <v>3735</v>
      </c>
      <c r="W8" s="37" t="s">
        <v>1869</v>
      </c>
      <c r="X8" s="37" t="s">
        <v>2495</v>
      </c>
      <c r="Y8" s="37" t="s">
        <v>4071</v>
      </c>
      <c r="Z8" s="44">
        <v>46148</v>
      </c>
      <c r="AA8" s="44">
        <v>46150</v>
      </c>
      <c r="AB8" s="44"/>
      <c r="AC8" s="44">
        <v>46165</v>
      </c>
      <c r="AD8" s="55" t="s">
        <v>4155</v>
      </c>
      <c r="AE8" s="2" t="s">
        <v>4147</v>
      </c>
      <c r="AF8" s="2" t="s">
        <v>4156</v>
      </c>
    </row>
    <row r="9" s="2" customFormat="1" ht="33.6" hidden="1" customHeight="1" spans="1:32">
      <c r="A9" s="47">
        <f t="shared" si="0"/>
        <v>6</v>
      </c>
      <c r="B9" s="37" t="s">
        <v>420</v>
      </c>
      <c r="C9" s="37" t="s">
        <v>4068</v>
      </c>
      <c r="D9" s="37" t="s">
        <v>4157</v>
      </c>
      <c r="E9" s="37" t="s">
        <v>4158</v>
      </c>
      <c r="F9" s="56">
        <v>46080</v>
      </c>
      <c r="G9" s="56">
        <v>46148</v>
      </c>
      <c r="H9" s="56">
        <v>46148</v>
      </c>
      <c r="I9" s="56">
        <v>46105</v>
      </c>
      <c r="J9" s="37">
        <f t="shared" si="1"/>
        <v>3790</v>
      </c>
      <c r="K9" s="37">
        <v>10</v>
      </c>
      <c r="L9" s="37">
        <v>758</v>
      </c>
      <c r="M9" s="37">
        <v>758</v>
      </c>
      <c r="N9" s="37">
        <v>758</v>
      </c>
      <c r="O9" s="37">
        <v>758</v>
      </c>
      <c r="P9" s="37">
        <v>758</v>
      </c>
      <c r="Q9" s="37" t="s">
        <v>2495</v>
      </c>
      <c r="R9" s="46" t="s">
        <v>81</v>
      </c>
      <c r="S9" s="37" t="s">
        <v>4154</v>
      </c>
      <c r="T9" s="54" t="s">
        <v>3735</v>
      </c>
      <c r="U9" s="37" t="s">
        <v>4154</v>
      </c>
      <c r="V9" s="54" t="s">
        <v>3735</v>
      </c>
      <c r="W9" s="37" t="s">
        <v>1869</v>
      </c>
      <c r="X9" s="37" t="s">
        <v>2495</v>
      </c>
      <c r="Y9" s="37" t="s">
        <v>4071</v>
      </c>
      <c r="Z9" s="44">
        <v>46148</v>
      </c>
      <c r="AA9" s="44">
        <v>46150</v>
      </c>
      <c r="AB9" s="44"/>
      <c r="AC9" s="44">
        <v>46172</v>
      </c>
      <c r="AD9" s="55" t="s">
        <v>4159</v>
      </c>
      <c r="AE9" s="2" t="s">
        <v>4147</v>
      </c>
      <c r="AF9" s="2" t="s">
        <v>4156</v>
      </c>
    </row>
    <row r="10" s="2" customFormat="1" ht="33.6" hidden="1" customHeight="1" spans="1:32">
      <c r="A10" s="47">
        <f t="shared" si="0"/>
        <v>7</v>
      </c>
      <c r="B10" s="37" t="s">
        <v>420</v>
      </c>
      <c r="C10" s="37" t="s">
        <v>4068</v>
      </c>
      <c r="D10" s="37" t="s">
        <v>4093</v>
      </c>
      <c r="E10" s="37" t="s">
        <v>4094</v>
      </c>
      <c r="F10" s="56">
        <v>46093</v>
      </c>
      <c r="G10" s="56">
        <v>46156</v>
      </c>
      <c r="H10" s="56">
        <v>46156</v>
      </c>
      <c r="I10" s="56">
        <v>46129</v>
      </c>
      <c r="J10" s="37">
        <f t="shared" si="1"/>
        <v>3510</v>
      </c>
      <c r="K10" s="37">
        <v>10</v>
      </c>
      <c r="L10" s="37">
        <v>702</v>
      </c>
      <c r="M10" s="37">
        <v>702</v>
      </c>
      <c r="N10" s="37">
        <v>702</v>
      </c>
      <c r="O10" s="37">
        <v>702</v>
      </c>
      <c r="P10" s="37">
        <v>702</v>
      </c>
      <c r="Q10" s="37" t="s">
        <v>2495</v>
      </c>
      <c r="R10" s="46" t="s">
        <v>81</v>
      </c>
      <c r="S10" s="37" t="s">
        <v>4083</v>
      </c>
      <c r="T10" s="37" t="s">
        <v>4083</v>
      </c>
      <c r="U10" s="37" t="s">
        <v>4083</v>
      </c>
      <c r="V10" s="54" t="s">
        <v>4084</v>
      </c>
      <c r="W10" s="37" t="s">
        <v>4085</v>
      </c>
      <c r="X10" s="37" t="s">
        <v>2495</v>
      </c>
      <c r="Y10" s="37" t="s">
        <v>4071</v>
      </c>
      <c r="Z10" s="44">
        <v>46156</v>
      </c>
      <c r="AA10" s="44">
        <v>46157</v>
      </c>
      <c r="AB10" s="44"/>
      <c r="AC10" s="44">
        <v>46165</v>
      </c>
      <c r="AD10" s="55" t="s">
        <v>4160</v>
      </c>
      <c r="AE10" s="2" t="s">
        <v>4147</v>
      </c>
      <c r="AF10" s="2" t="s">
        <v>4161</v>
      </c>
    </row>
    <row r="11" s="2" customFormat="1" ht="33.6" hidden="1" customHeight="1" spans="1:32">
      <c r="A11" s="47">
        <f t="shared" si="0"/>
        <v>8</v>
      </c>
      <c r="B11" s="37" t="s">
        <v>420</v>
      </c>
      <c r="C11" s="37" t="s">
        <v>4068</v>
      </c>
      <c r="D11" s="37" t="s">
        <v>4096</v>
      </c>
      <c r="E11" s="37" t="s">
        <v>4097</v>
      </c>
      <c r="F11" s="56">
        <v>46093</v>
      </c>
      <c r="G11" s="56">
        <v>46156</v>
      </c>
      <c r="H11" s="56">
        <v>46156</v>
      </c>
      <c r="I11" s="56">
        <v>46129</v>
      </c>
      <c r="J11" s="37">
        <f t="shared" si="1"/>
        <v>4890</v>
      </c>
      <c r="K11" s="37">
        <v>10</v>
      </c>
      <c r="L11" s="37">
        <v>978</v>
      </c>
      <c r="M11" s="37">
        <v>978</v>
      </c>
      <c r="N11" s="37">
        <v>978</v>
      </c>
      <c r="O11" s="37">
        <v>978</v>
      </c>
      <c r="P11" s="37">
        <v>978</v>
      </c>
      <c r="Q11" s="37" t="s">
        <v>2495</v>
      </c>
      <c r="R11" s="46" t="s">
        <v>81</v>
      </c>
      <c r="S11" s="37" t="s">
        <v>4083</v>
      </c>
      <c r="T11" s="37" t="s">
        <v>4083</v>
      </c>
      <c r="U11" s="37" t="s">
        <v>4083</v>
      </c>
      <c r="V11" s="54" t="s">
        <v>4084</v>
      </c>
      <c r="W11" s="37" t="s">
        <v>4085</v>
      </c>
      <c r="X11" s="37" t="s">
        <v>2495</v>
      </c>
      <c r="Y11" s="37" t="s">
        <v>4071</v>
      </c>
      <c r="Z11" s="44">
        <v>46156</v>
      </c>
      <c r="AA11" s="44">
        <v>46157</v>
      </c>
      <c r="AB11" s="44"/>
      <c r="AC11" s="44">
        <v>46179</v>
      </c>
      <c r="AD11" s="55" t="s">
        <v>4162</v>
      </c>
      <c r="AE11" s="2" t="s">
        <v>4147</v>
      </c>
      <c r="AF11" s="2" t="s">
        <v>4161</v>
      </c>
    </row>
    <row r="12" s="2" customFormat="1" ht="33.6" hidden="1" customHeight="1" spans="1:32">
      <c r="A12" s="47">
        <f t="shared" si="0"/>
        <v>9</v>
      </c>
      <c r="B12" s="37" t="s">
        <v>420</v>
      </c>
      <c r="C12" s="37" t="s">
        <v>4068</v>
      </c>
      <c r="D12" s="37" t="s">
        <v>4099</v>
      </c>
      <c r="E12" s="37" t="s">
        <v>4100</v>
      </c>
      <c r="F12" s="56">
        <v>46091</v>
      </c>
      <c r="G12" s="56">
        <v>46163</v>
      </c>
      <c r="H12" s="56">
        <v>46163</v>
      </c>
      <c r="I12" s="56">
        <v>46129</v>
      </c>
      <c r="J12" s="37">
        <f t="shared" si="1"/>
        <v>6680</v>
      </c>
      <c r="K12" s="37">
        <v>10</v>
      </c>
      <c r="L12" s="37">
        <v>1336</v>
      </c>
      <c r="M12" s="37">
        <v>1336</v>
      </c>
      <c r="N12" s="37">
        <v>1336</v>
      </c>
      <c r="O12" s="37">
        <v>1336</v>
      </c>
      <c r="P12" s="37">
        <v>1336</v>
      </c>
      <c r="Q12" s="37" t="s">
        <v>2495</v>
      </c>
      <c r="R12" s="46" t="s">
        <v>81</v>
      </c>
      <c r="S12" s="37" t="s">
        <v>4083</v>
      </c>
      <c r="T12" s="37" t="s">
        <v>4083</v>
      </c>
      <c r="U12" s="37" t="s">
        <v>4083</v>
      </c>
      <c r="V12" s="54" t="s">
        <v>4084</v>
      </c>
      <c r="W12" s="37" t="s">
        <v>4085</v>
      </c>
      <c r="X12" s="37" t="s">
        <v>2495</v>
      </c>
      <c r="Y12" s="37" t="s">
        <v>4071</v>
      </c>
      <c r="Z12" s="44">
        <v>46163</v>
      </c>
      <c r="AA12" s="44">
        <v>46164</v>
      </c>
      <c r="AB12" s="44"/>
      <c r="AC12" s="44">
        <v>46186</v>
      </c>
      <c r="AD12" s="55" t="s">
        <v>4101</v>
      </c>
      <c r="AE12" s="2" t="s">
        <v>4147</v>
      </c>
      <c r="AF12" s="2" t="s">
        <v>4161</v>
      </c>
    </row>
    <row r="13" s="2" customFormat="1" ht="33.6" hidden="1" customHeight="1" spans="1:32">
      <c r="A13" s="47">
        <f t="shared" si="0"/>
        <v>10</v>
      </c>
      <c r="B13" s="37" t="s">
        <v>420</v>
      </c>
      <c r="C13" s="37" t="s">
        <v>4068</v>
      </c>
      <c r="D13" s="37" t="s">
        <v>4102</v>
      </c>
      <c r="E13" s="37" t="s">
        <v>4103</v>
      </c>
      <c r="F13" s="56">
        <v>46091</v>
      </c>
      <c r="G13" s="56">
        <v>46163</v>
      </c>
      <c r="H13" s="56">
        <v>46163</v>
      </c>
      <c r="I13" s="56">
        <v>46129</v>
      </c>
      <c r="J13" s="37">
        <f t="shared" si="1"/>
        <v>6920</v>
      </c>
      <c r="K13" s="37">
        <v>10</v>
      </c>
      <c r="L13" s="37">
        <v>1384</v>
      </c>
      <c r="M13" s="37">
        <v>1384</v>
      </c>
      <c r="N13" s="37">
        <v>1384</v>
      </c>
      <c r="O13" s="37">
        <v>1384</v>
      </c>
      <c r="P13" s="37">
        <v>1384</v>
      </c>
      <c r="Q13" s="37" t="s">
        <v>2495</v>
      </c>
      <c r="R13" s="46" t="s">
        <v>81</v>
      </c>
      <c r="S13" s="37" t="s">
        <v>4083</v>
      </c>
      <c r="T13" s="37" t="s">
        <v>4083</v>
      </c>
      <c r="U13" s="37" t="s">
        <v>4083</v>
      </c>
      <c r="V13" s="54" t="s">
        <v>4084</v>
      </c>
      <c r="W13" s="37" t="s">
        <v>4085</v>
      </c>
      <c r="X13" s="37" t="s">
        <v>2495</v>
      </c>
      <c r="Y13" s="37" t="s">
        <v>4071</v>
      </c>
      <c r="Z13" s="44">
        <v>46163</v>
      </c>
      <c r="AA13" s="44">
        <v>46164</v>
      </c>
      <c r="AB13" s="44"/>
      <c r="AC13" s="44">
        <v>46186</v>
      </c>
      <c r="AD13" s="55" t="s">
        <v>4104</v>
      </c>
      <c r="AE13" s="2" t="s">
        <v>4147</v>
      </c>
      <c r="AF13" s="2" t="s">
        <v>4161</v>
      </c>
    </row>
    <row r="14" s="2" customFormat="1" ht="33.6" hidden="1" customHeight="1" spans="1:32">
      <c r="A14" s="47">
        <f t="shared" si="0"/>
        <v>11</v>
      </c>
      <c r="B14" s="37" t="s">
        <v>420</v>
      </c>
      <c r="C14" s="37" t="s">
        <v>4068</v>
      </c>
      <c r="D14" s="37" t="s">
        <v>4105</v>
      </c>
      <c r="E14" s="37" t="s">
        <v>4106</v>
      </c>
      <c r="F14" s="56">
        <v>46093</v>
      </c>
      <c r="G14" s="56">
        <v>46163</v>
      </c>
      <c r="H14" s="56">
        <v>46163</v>
      </c>
      <c r="I14" s="56">
        <v>46129</v>
      </c>
      <c r="J14" s="37">
        <f t="shared" si="1"/>
        <v>3510</v>
      </c>
      <c r="K14" s="37">
        <v>10</v>
      </c>
      <c r="L14" s="37">
        <v>702</v>
      </c>
      <c r="M14" s="37">
        <v>702</v>
      </c>
      <c r="N14" s="37">
        <v>702</v>
      </c>
      <c r="O14" s="37">
        <v>702</v>
      </c>
      <c r="P14" s="37">
        <v>702</v>
      </c>
      <c r="Q14" s="37" t="s">
        <v>2495</v>
      </c>
      <c r="R14" s="46" t="s">
        <v>81</v>
      </c>
      <c r="S14" s="37" t="s">
        <v>4083</v>
      </c>
      <c r="T14" s="37" t="s">
        <v>4083</v>
      </c>
      <c r="U14" s="37" t="s">
        <v>4083</v>
      </c>
      <c r="V14" s="54" t="s">
        <v>4084</v>
      </c>
      <c r="W14" s="37" t="s">
        <v>4085</v>
      </c>
      <c r="X14" s="37" t="s">
        <v>2495</v>
      </c>
      <c r="Y14" s="37" t="s">
        <v>4071</v>
      </c>
      <c r="Z14" s="44">
        <v>46163</v>
      </c>
      <c r="AA14" s="44">
        <v>46164</v>
      </c>
      <c r="AB14" s="44"/>
      <c r="AC14" s="44">
        <v>46179</v>
      </c>
      <c r="AD14" s="55" t="s">
        <v>4163</v>
      </c>
      <c r="AE14" s="2" t="s">
        <v>4147</v>
      </c>
      <c r="AF14" s="2" t="s">
        <v>4161</v>
      </c>
    </row>
    <row r="15" s="2" customFormat="1" ht="33.6" hidden="1" customHeight="1" spans="1:32">
      <c r="A15" s="47">
        <f t="shared" si="0"/>
        <v>12</v>
      </c>
      <c r="B15" s="37" t="s">
        <v>420</v>
      </c>
      <c r="C15" s="37" t="s">
        <v>4068</v>
      </c>
      <c r="D15" s="37" t="s">
        <v>4108</v>
      </c>
      <c r="E15" s="37" t="s">
        <v>4109</v>
      </c>
      <c r="F15" s="56">
        <v>46093</v>
      </c>
      <c r="G15" s="56">
        <v>46172</v>
      </c>
      <c r="H15" s="56">
        <v>46172</v>
      </c>
      <c r="I15" s="56">
        <v>46129</v>
      </c>
      <c r="J15" s="37">
        <f t="shared" si="1"/>
        <v>4890</v>
      </c>
      <c r="K15" s="37">
        <v>10</v>
      </c>
      <c r="L15" s="37">
        <v>978</v>
      </c>
      <c r="M15" s="37">
        <v>978</v>
      </c>
      <c r="N15" s="37">
        <v>978</v>
      </c>
      <c r="O15" s="37">
        <v>978</v>
      </c>
      <c r="P15" s="37">
        <v>978</v>
      </c>
      <c r="Q15" s="37" t="s">
        <v>2495</v>
      </c>
      <c r="R15" s="46" t="s">
        <v>81</v>
      </c>
      <c r="S15" s="37" t="s">
        <v>4083</v>
      </c>
      <c r="T15" s="37" t="s">
        <v>4083</v>
      </c>
      <c r="U15" s="37" t="s">
        <v>4083</v>
      </c>
      <c r="V15" s="54" t="s">
        <v>4084</v>
      </c>
      <c r="W15" s="37" t="s">
        <v>4085</v>
      </c>
      <c r="X15" s="37" t="s">
        <v>2495</v>
      </c>
      <c r="Y15" s="37" t="s">
        <v>4071</v>
      </c>
      <c r="Z15" s="44">
        <v>46172</v>
      </c>
      <c r="AA15" s="44">
        <v>46171</v>
      </c>
      <c r="AB15" s="44"/>
      <c r="AC15" s="44">
        <v>46195</v>
      </c>
      <c r="AD15" s="55" t="s">
        <v>4164</v>
      </c>
      <c r="AE15" s="2" t="s">
        <v>4147</v>
      </c>
      <c r="AF15" s="2" t="s">
        <v>4161</v>
      </c>
    </row>
    <row r="16" s="2" customFormat="1" ht="33.6" hidden="1" customHeight="1" spans="1:32">
      <c r="A16" s="34">
        <f t="shared" si="0"/>
        <v>13</v>
      </c>
      <c r="B16" s="35" t="s">
        <v>420</v>
      </c>
      <c r="C16" s="35" t="s">
        <v>4068</v>
      </c>
      <c r="D16" s="35" t="s">
        <v>4111</v>
      </c>
      <c r="E16" s="35" t="s">
        <v>4112</v>
      </c>
      <c r="F16" s="36">
        <v>46100</v>
      </c>
      <c r="G16" s="36">
        <v>46178</v>
      </c>
      <c r="H16" s="36">
        <v>46178</v>
      </c>
      <c r="I16" s="36">
        <v>46153</v>
      </c>
      <c r="J16" s="35">
        <f t="shared" si="1"/>
        <v>3510</v>
      </c>
      <c r="K16" s="35">
        <v>10</v>
      </c>
      <c r="L16" s="35">
        <v>702</v>
      </c>
      <c r="M16" s="35">
        <v>702</v>
      </c>
      <c r="N16" s="35">
        <v>702</v>
      </c>
      <c r="O16" s="35">
        <v>702</v>
      </c>
      <c r="P16" s="35">
        <v>702</v>
      </c>
      <c r="Q16" s="35" t="s">
        <v>499</v>
      </c>
      <c r="R16" s="45" t="s">
        <v>81</v>
      </c>
      <c r="S16" s="35" t="s">
        <v>501</v>
      </c>
      <c r="T16" s="35" t="s">
        <v>501</v>
      </c>
      <c r="U16" s="35" t="s">
        <v>501</v>
      </c>
      <c r="V16" s="38" t="s">
        <v>1184</v>
      </c>
      <c r="W16" s="35" t="s">
        <v>2375</v>
      </c>
      <c r="X16" s="35" t="s">
        <v>499</v>
      </c>
      <c r="Y16" s="37" t="s">
        <v>4071</v>
      </c>
      <c r="Z16" s="39">
        <v>46178</v>
      </c>
      <c r="AA16" s="57">
        <v>46184</v>
      </c>
      <c r="AB16" s="39"/>
      <c r="AC16" s="39">
        <v>46203</v>
      </c>
      <c r="AD16" s="40" t="s">
        <v>4113</v>
      </c>
      <c r="AE16" s="2" t="s">
        <v>4165</v>
      </c>
      <c r="AF16" s="2" t="s">
        <v>4166</v>
      </c>
    </row>
    <row r="17" s="2" customFormat="1" ht="33.6" hidden="1" customHeight="1" spans="1:32">
      <c r="A17" s="34">
        <f t="shared" si="0"/>
        <v>14</v>
      </c>
      <c r="B17" s="35" t="s">
        <v>420</v>
      </c>
      <c r="C17" s="35" t="s">
        <v>4068</v>
      </c>
      <c r="D17" s="35" t="s">
        <v>4114</v>
      </c>
      <c r="E17" s="35" t="s">
        <v>4115</v>
      </c>
      <c r="F17" s="36">
        <v>46100</v>
      </c>
      <c r="G17" s="36">
        <v>46184</v>
      </c>
      <c r="H17" s="36">
        <v>46184</v>
      </c>
      <c r="I17" s="36">
        <v>46153</v>
      </c>
      <c r="J17" s="35">
        <f t="shared" si="1"/>
        <v>4890</v>
      </c>
      <c r="K17" s="35">
        <v>10</v>
      </c>
      <c r="L17" s="35">
        <v>978</v>
      </c>
      <c r="M17" s="35">
        <v>978</v>
      </c>
      <c r="N17" s="35">
        <v>978</v>
      </c>
      <c r="O17" s="35">
        <v>978</v>
      </c>
      <c r="P17" s="35">
        <v>978</v>
      </c>
      <c r="Q17" s="35" t="s">
        <v>499</v>
      </c>
      <c r="R17" s="45" t="s">
        <v>81</v>
      </c>
      <c r="S17" s="35" t="s">
        <v>501</v>
      </c>
      <c r="T17" s="35" t="s">
        <v>501</v>
      </c>
      <c r="U17" s="35" t="s">
        <v>501</v>
      </c>
      <c r="V17" s="38" t="s">
        <v>1184</v>
      </c>
      <c r="W17" s="35" t="s">
        <v>2375</v>
      </c>
      <c r="X17" s="35" t="s">
        <v>499</v>
      </c>
      <c r="Y17" s="37" t="s">
        <v>4071</v>
      </c>
      <c r="Z17" s="39">
        <v>46184</v>
      </c>
      <c r="AA17" s="57">
        <v>46190</v>
      </c>
      <c r="AB17" s="39"/>
      <c r="AC17" s="39">
        <v>46212</v>
      </c>
      <c r="AD17" s="40" t="s">
        <v>4116</v>
      </c>
      <c r="AE17" s="2" t="s">
        <v>4165</v>
      </c>
      <c r="AF17" s="2" t="s">
        <v>4166</v>
      </c>
    </row>
    <row r="18" s="2" customFormat="1" ht="33.6" hidden="1" customHeight="1" spans="1:32">
      <c r="A18" s="34">
        <f t="shared" si="0"/>
        <v>15</v>
      </c>
      <c r="B18" s="35" t="s">
        <v>420</v>
      </c>
      <c r="C18" s="35" t="s">
        <v>4068</v>
      </c>
      <c r="D18" s="35" t="s">
        <v>4117</v>
      </c>
      <c r="E18" s="35" t="s">
        <v>4118</v>
      </c>
      <c r="F18" s="36">
        <v>46093</v>
      </c>
      <c r="G18" s="36">
        <v>46193</v>
      </c>
      <c r="H18" s="36">
        <v>46193</v>
      </c>
      <c r="I18" s="36">
        <v>46153</v>
      </c>
      <c r="J18" s="35">
        <f t="shared" si="1"/>
        <v>4380</v>
      </c>
      <c r="K18" s="35">
        <v>10</v>
      </c>
      <c r="L18" s="35">
        <v>876</v>
      </c>
      <c r="M18" s="35">
        <v>876</v>
      </c>
      <c r="N18" s="35">
        <v>876</v>
      </c>
      <c r="O18" s="35">
        <v>876</v>
      </c>
      <c r="P18" s="35">
        <v>876</v>
      </c>
      <c r="Q18" s="35" t="s">
        <v>499</v>
      </c>
      <c r="R18" s="45" t="s">
        <v>81</v>
      </c>
      <c r="S18" s="35" t="s">
        <v>501</v>
      </c>
      <c r="T18" s="35" t="s">
        <v>501</v>
      </c>
      <c r="U18" s="35" t="s">
        <v>501</v>
      </c>
      <c r="V18" s="38" t="s">
        <v>1184</v>
      </c>
      <c r="W18" s="35" t="s">
        <v>2375</v>
      </c>
      <c r="X18" s="35" t="s">
        <v>499</v>
      </c>
      <c r="Y18" s="37" t="s">
        <v>4071</v>
      </c>
      <c r="Z18" s="39">
        <v>46193</v>
      </c>
      <c r="AA18" s="57">
        <v>46196</v>
      </c>
      <c r="AB18" s="39"/>
      <c r="AC18" s="39">
        <v>46216</v>
      </c>
      <c r="AD18" s="40" t="s">
        <v>4119</v>
      </c>
      <c r="AE18" s="2" t="s">
        <v>4147</v>
      </c>
      <c r="AF18" s="2" t="s">
        <v>1782</v>
      </c>
    </row>
    <row r="19" s="2" customFormat="1" ht="33.6" hidden="1" customHeight="1" spans="1:32">
      <c r="A19" s="34">
        <f t="shared" si="0"/>
        <v>16</v>
      </c>
      <c r="B19" s="35" t="s">
        <v>420</v>
      </c>
      <c r="C19" s="35" t="s">
        <v>4068</v>
      </c>
      <c r="D19" s="35" t="s">
        <v>4120</v>
      </c>
      <c r="E19" s="35" t="s">
        <v>4121</v>
      </c>
      <c r="F19" s="36">
        <v>46093</v>
      </c>
      <c r="G19" s="36">
        <v>46200</v>
      </c>
      <c r="H19" s="36">
        <v>46200</v>
      </c>
      <c r="I19" s="36">
        <v>46153</v>
      </c>
      <c r="J19" s="35">
        <f t="shared" si="1"/>
        <v>6120</v>
      </c>
      <c r="K19" s="35">
        <v>10</v>
      </c>
      <c r="L19" s="35">
        <v>1224</v>
      </c>
      <c r="M19" s="35">
        <v>1224</v>
      </c>
      <c r="N19" s="35">
        <v>1224</v>
      </c>
      <c r="O19" s="35">
        <v>1224</v>
      </c>
      <c r="P19" s="35">
        <v>1224</v>
      </c>
      <c r="Q19" s="35" t="s">
        <v>1749</v>
      </c>
      <c r="R19" s="45" t="s">
        <v>81</v>
      </c>
      <c r="S19" s="35" t="s">
        <v>526</v>
      </c>
      <c r="T19" s="35" t="s">
        <v>526</v>
      </c>
      <c r="U19" s="35" t="s">
        <v>526</v>
      </c>
      <c r="V19" s="38" t="s">
        <v>1875</v>
      </c>
      <c r="W19" s="35" t="s">
        <v>2375</v>
      </c>
      <c r="X19" s="35" t="s">
        <v>1749</v>
      </c>
      <c r="Y19" s="37" t="s">
        <v>4071</v>
      </c>
      <c r="Z19" s="39">
        <v>46200</v>
      </c>
      <c r="AA19" s="57">
        <v>46196</v>
      </c>
      <c r="AB19" s="39"/>
      <c r="AC19" s="39">
        <v>46217</v>
      </c>
      <c r="AD19" s="40" t="s">
        <v>4122</v>
      </c>
      <c r="AE19" s="2" t="s">
        <v>4147</v>
      </c>
      <c r="AF19" s="2" t="s">
        <v>1782</v>
      </c>
    </row>
    <row r="20" s="2" customFormat="1" ht="33.6" hidden="1" customHeight="1" spans="1:32">
      <c r="A20" s="34">
        <f t="shared" si="0"/>
        <v>17</v>
      </c>
      <c r="B20" s="37" t="s">
        <v>420</v>
      </c>
      <c r="C20" s="37" t="s">
        <v>4068</v>
      </c>
      <c r="D20" s="37" t="s">
        <v>4123</v>
      </c>
      <c r="E20" s="37" t="s">
        <v>4124</v>
      </c>
      <c r="F20" s="36">
        <v>46093</v>
      </c>
      <c r="G20" s="36">
        <v>46205</v>
      </c>
      <c r="H20" s="36">
        <v>46205</v>
      </c>
      <c r="I20" s="36">
        <v>46182</v>
      </c>
      <c r="J20" s="35">
        <f t="shared" si="1"/>
        <v>5260</v>
      </c>
      <c r="K20" s="35">
        <v>10</v>
      </c>
      <c r="L20" s="35">
        <v>1052</v>
      </c>
      <c r="M20" s="35">
        <v>1052</v>
      </c>
      <c r="N20" s="35">
        <v>1052</v>
      </c>
      <c r="O20" s="35">
        <v>1052</v>
      </c>
      <c r="P20" s="35">
        <v>1052</v>
      </c>
      <c r="Q20" s="35" t="s">
        <v>1749</v>
      </c>
      <c r="R20" s="45" t="s">
        <v>81</v>
      </c>
      <c r="S20" s="35" t="s">
        <v>526</v>
      </c>
      <c r="T20" s="35" t="s">
        <v>526</v>
      </c>
      <c r="U20" s="35" t="s">
        <v>526</v>
      </c>
      <c r="V20" s="38" t="s">
        <v>1875</v>
      </c>
      <c r="W20" s="35" t="s">
        <v>933</v>
      </c>
      <c r="X20" s="35" t="s">
        <v>1749</v>
      </c>
      <c r="Y20" s="37" t="s">
        <v>4071</v>
      </c>
      <c r="Z20" s="39">
        <v>46205</v>
      </c>
      <c r="AA20" s="44">
        <v>46220</v>
      </c>
      <c r="AB20" s="39"/>
      <c r="AC20" s="39">
        <v>46227</v>
      </c>
      <c r="AD20" s="40" t="s">
        <v>4125</v>
      </c>
      <c r="AE20" s="2" t="s">
        <v>4147</v>
      </c>
      <c r="AF20" s="2" t="s">
        <v>1802</v>
      </c>
    </row>
    <row r="21" s="2" customFormat="1" ht="33.6" hidden="1" customHeight="1" spans="1:32">
      <c r="A21" s="34">
        <f t="shared" si="0"/>
        <v>18</v>
      </c>
      <c r="B21" s="37" t="s">
        <v>420</v>
      </c>
      <c r="C21" s="37" t="s">
        <v>4068</v>
      </c>
      <c r="D21" s="37" t="s">
        <v>4126</v>
      </c>
      <c r="E21" s="37" t="s">
        <v>4127</v>
      </c>
      <c r="F21" s="36">
        <v>46093</v>
      </c>
      <c r="G21" s="36">
        <v>46212</v>
      </c>
      <c r="H21" s="36">
        <v>46212</v>
      </c>
      <c r="I21" s="36">
        <v>46182</v>
      </c>
      <c r="J21" s="35">
        <f t="shared" si="1"/>
        <v>7340</v>
      </c>
      <c r="K21" s="35">
        <v>10</v>
      </c>
      <c r="L21" s="35">
        <v>1468</v>
      </c>
      <c r="M21" s="35">
        <v>1468</v>
      </c>
      <c r="N21" s="35">
        <v>1468</v>
      </c>
      <c r="O21" s="35">
        <v>1468</v>
      </c>
      <c r="P21" s="35">
        <v>1468</v>
      </c>
      <c r="Q21" s="35" t="s">
        <v>554</v>
      </c>
      <c r="R21" s="45" t="s">
        <v>81</v>
      </c>
      <c r="S21" s="35" t="s">
        <v>1750</v>
      </c>
      <c r="T21" s="35" t="s">
        <v>1750</v>
      </c>
      <c r="U21" s="35" t="s">
        <v>1750</v>
      </c>
      <c r="V21" s="35" t="s">
        <v>4128</v>
      </c>
      <c r="W21" s="35" t="s">
        <v>933</v>
      </c>
      <c r="X21" s="35" t="s">
        <v>554</v>
      </c>
      <c r="Y21" s="37" t="s">
        <v>4071</v>
      </c>
      <c r="Z21" s="39">
        <v>46212</v>
      </c>
      <c r="AA21" s="39">
        <v>46226</v>
      </c>
      <c r="AB21" s="39"/>
      <c r="AC21" s="39">
        <v>46228</v>
      </c>
      <c r="AD21" s="40" t="s">
        <v>4129</v>
      </c>
      <c r="AE21" s="2" t="s">
        <v>4147</v>
      </c>
      <c r="AF21" s="2" t="s">
        <v>1802</v>
      </c>
    </row>
    <row r="22" s="2" customFormat="1" ht="33.6" hidden="1" customHeight="1" spans="1:32">
      <c r="A22" s="34">
        <f t="shared" si="0"/>
        <v>19</v>
      </c>
      <c r="B22" s="37" t="s">
        <v>420</v>
      </c>
      <c r="C22" s="37" t="s">
        <v>4068</v>
      </c>
      <c r="D22" s="37" t="s">
        <v>4130</v>
      </c>
      <c r="E22" s="37" t="s">
        <v>4131</v>
      </c>
      <c r="F22" s="36">
        <v>46093</v>
      </c>
      <c r="G22" s="36">
        <v>46224</v>
      </c>
      <c r="H22" s="36">
        <v>46224</v>
      </c>
      <c r="I22" s="36">
        <v>46182</v>
      </c>
      <c r="J22" s="35">
        <f t="shared" si="1"/>
        <v>7010</v>
      </c>
      <c r="K22" s="35">
        <v>10</v>
      </c>
      <c r="L22" s="35">
        <v>1402</v>
      </c>
      <c r="M22" s="35">
        <v>1402</v>
      </c>
      <c r="N22" s="35">
        <v>1402</v>
      </c>
      <c r="O22" s="35">
        <v>1402</v>
      </c>
      <c r="P22" s="35">
        <v>1402</v>
      </c>
      <c r="Q22" s="35" t="s">
        <v>554</v>
      </c>
      <c r="R22" s="45" t="s">
        <v>81</v>
      </c>
      <c r="S22" s="35" t="s">
        <v>1750</v>
      </c>
      <c r="T22" s="35" t="s">
        <v>1750</v>
      </c>
      <c r="U22" s="35" t="s">
        <v>1750</v>
      </c>
      <c r="V22" s="35" t="s">
        <v>4128</v>
      </c>
      <c r="W22" s="35" t="s">
        <v>933</v>
      </c>
      <c r="X22" s="35" t="s">
        <v>554</v>
      </c>
      <c r="Y22" s="37" t="s">
        <v>4071</v>
      </c>
      <c r="Z22" s="39">
        <v>46224</v>
      </c>
      <c r="AA22" s="179">
        <v>46238</v>
      </c>
      <c r="AB22" s="39"/>
      <c r="AC22" s="39">
        <v>46239</v>
      </c>
      <c r="AD22" s="40" t="s">
        <v>4132</v>
      </c>
      <c r="AE22" s="2" t="s">
        <v>4147</v>
      </c>
      <c r="AF22" s="2" t="s">
        <v>1802</v>
      </c>
    </row>
    <row r="23" s="2" customFormat="1" ht="33.6" hidden="1" customHeight="1" spans="1:32">
      <c r="A23" s="34">
        <f t="shared" si="0"/>
        <v>20</v>
      </c>
      <c r="B23" s="37" t="s">
        <v>420</v>
      </c>
      <c r="C23" s="37" t="s">
        <v>4068</v>
      </c>
      <c r="D23" s="37" t="s">
        <v>4133</v>
      </c>
      <c r="E23" s="37" t="s">
        <v>4134</v>
      </c>
      <c r="F23" s="36">
        <v>46093</v>
      </c>
      <c r="G23" s="36">
        <v>46224</v>
      </c>
      <c r="H23" s="36">
        <v>46224</v>
      </c>
      <c r="I23" s="36">
        <v>46182</v>
      </c>
      <c r="J23" s="35">
        <f t="shared" si="1"/>
        <v>9790</v>
      </c>
      <c r="K23" s="35">
        <v>10</v>
      </c>
      <c r="L23" s="35">
        <v>1958</v>
      </c>
      <c r="M23" s="35">
        <v>1958</v>
      </c>
      <c r="N23" s="35">
        <v>1958</v>
      </c>
      <c r="O23" s="35">
        <v>1958</v>
      </c>
      <c r="P23" s="35">
        <v>1958</v>
      </c>
      <c r="Q23" s="35" t="s">
        <v>554</v>
      </c>
      <c r="R23" s="45" t="s">
        <v>81</v>
      </c>
      <c r="S23" s="35" t="s">
        <v>1750</v>
      </c>
      <c r="T23" s="35" t="s">
        <v>1750</v>
      </c>
      <c r="U23" s="35" t="s">
        <v>1750</v>
      </c>
      <c r="V23" s="35" t="s">
        <v>4128</v>
      </c>
      <c r="W23" s="35" t="s">
        <v>933</v>
      </c>
      <c r="X23" s="35" t="s">
        <v>554</v>
      </c>
      <c r="Y23" s="37" t="s">
        <v>4071</v>
      </c>
      <c r="Z23" s="39">
        <v>46224</v>
      </c>
      <c r="AA23" s="57">
        <v>46241</v>
      </c>
      <c r="AB23" s="39"/>
      <c r="AC23" s="39">
        <v>46251</v>
      </c>
      <c r="AD23" s="40" t="s">
        <v>4135</v>
      </c>
      <c r="AE23" s="2" t="s">
        <v>4147</v>
      </c>
      <c r="AF23" s="2" t="s">
        <v>1802</v>
      </c>
    </row>
    <row r="24" s="2" customFormat="1" ht="33.6" hidden="1" customHeight="1" spans="1:32">
      <c r="A24" s="34">
        <f t="shared" si="0"/>
        <v>21</v>
      </c>
      <c r="B24" s="37" t="s">
        <v>420</v>
      </c>
      <c r="C24" s="37" t="s">
        <v>4068</v>
      </c>
      <c r="D24" s="37" t="s">
        <v>4136</v>
      </c>
      <c r="E24" s="37" t="s">
        <v>4137</v>
      </c>
      <c r="F24" s="36">
        <v>46093</v>
      </c>
      <c r="G24" s="36">
        <v>46234</v>
      </c>
      <c r="H24" s="36">
        <v>46234</v>
      </c>
      <c r="I24" s="36">
        <v>46209</v>
      </c>
      <c r="J24" s="35">
        <f t="shared" ref="J24:J34" si="2">SUBTOTAL(9,L24:P24)</f>
        <v>0</v>
      </c>
      <c r="K24" s="35">
        <v>10</v>
      </c>
      <c r="L24" s="35">
        <v>2630</v>
      </c>
      <c r="M24" s="35">
        <v>2630</v>
      </c>
      <c r="N24" s="35">
        <v>2630</v>
      </c>
      <c r="O24" s="35">
        <v>2630</v>
      </c>
      <c r="P24" s="35">
        <v>2630</v>
      </c>
      <c r="Q24" s="35" t="s">
        <v>554</v>
      </c>
      <c r="R24" s="45" t="s">
        <v>81</v>
      </c>
      <c r="S24" s="35" t="s">
        <v>4138</v>
      </c>
      <c r="T24" s="35" t="s">
        <v>4138</v>
      </c>
      <c r="U24" s="35" t="s">
        <v>4138</v>
      </c>
      <c r="V24" s="35" t="s">
        <v>1207</v>
      </c>
      <c r="W24" s="35" t="s">
        <v>603</v>
      </c>
      <c r="X24" s="35" t="s">
        <v>554</v>
      </c>
      <c r="Y24" s="37" t="s">
        <v>4071</v>
      </c>
      <c r="Z24" s="39">
        <v>46234</v>
      </c>
      <c r="AA24" s="39">
        <v>46245</v>
      </c>
      <c r="AB24" s="39"/>
      <c r="AC24" s="39">
        <v>46257</v>
      </c>
      <c r="AD24" s="40" t="s">
        <v>4139</v>
      </c>
      <c r="AE24" s="2" t="s">
        <v>4147</v>
      </c>
      <c r="AF24" s="2" t="s">
        <v>1794</v>
      </c>
    </row>
    <row r="25" s="2" customFormat="1" ht="33.6" hidden="1" customHeight="1" spans="1:32">
      <c r="A25" s="34">
        <f t="shared" si="0"/>
        <v>22</v>
      </c>
      <c r="B25" s="37" t="s">
        <v>420</v>
      </c>
      <c r="C25" s="37" t="s">
        <v>4068</v>
      </c>
      <c r="D25" s="37" t="s">
        <v>4140</v>
      </c>
      <c r="E25" s="37" t="s">
        <v>4141</v>
      </c>
      <c r="F25" s="36">
        <v>46093</v>
      </c>
      <c r="G25" s="36">
        <v>46241</v>
      </c>
      <c r="H25" s="36">
        <v>46241</v>
      </c>
      <c r="I25" s="36">
        <v>46209</v>
      </c>
      <c r="J25" s="35">
        <f t="shared" si="2"/>
        <v>0</v>
      </c>
      <c r="K25" s="35">
        <v>10</v>
      </c>
      <c r="L25" s="35">
        <v>3670</v>
      </c>
      <c r="M25" s="35">
        <v>3670</v>
      </c>
      <c r="N25" s="35">
        <v>3670</v>
      </c>
      <c r="O25" s="35">
        <v>3670</v>
      </c>
      <c r="P25" s="35">
        <v>3670</v>
      </c>
      <c r="Q25" s="35" t="s">
        <v>1600</v>
      </c>
      <c r="R25" s="45" t="s">
        <v>81</v>
      </c>
      <c r="S25" s="35" t="s">
        <v>4138</v>
      </c>
      <c r="T25" s="35" t="s">
        <v>4138</v>
      </c>
      <c r="U25" s="35" t="s">
        <v>4138</v>
      </c>
      <c r="V25" s="35" t="s">
        <v>1207</v>
      </c>
      <c r="W25" s="35" t="s">
        <v>603</v>
      </c>
      <c r="X25" s="35" t="s">
        <v>1600</v>
      </c>
      <c r="Y25" s="37" t="s">
        <v>4071</v>
      </c>
      <c r="Z25" s="39">
        <v>46241</v>
      </c>
      <c r="AA25" s="39">
        <v>46247</v>
      </c>
      <c r="AB25" s="39"/>
      <c r="AC25" s="39">
        <v>46269</v>
      </c>
      <c r="AD25" s="40" t="s">
        <v>4142</v>
      </c>
      <c r="AE25" s="2" t="s">
        <v>4147</v>
      </c>
      <c r="AF25" s="2" t="s">
        <v>1794</v>
      </c>
    </row>
    <row r="26" s="2" customFormat="1" ht="36" hidden="1" customHeight="1" spans="1:32">
      <c r="A26" s="34">
        <f t="shared" si="0"/>
        <v>23</v>
      </c>
      <c r="B26" s="37" t="s">
        <v>420</v>
      </c>
      <c r="C26" s="37" t="s">
        <v>4068</v>
      </c>
      <c r="D26" s="37" t="s">
        <v>4143</v>
      </c>
      <c r="E26" s="37" t="s">
        <v>4144</v>
      </c>
      <c r="F26" s="36">
        <v>46093</v>
      </c>
      <c r="G26" s="36">
        <v>46248</v>
      </c>
      <c r="H26" s="36">
        <v>46248</v>
      </c>
      <c r="I26" s="36">
        <v>46209</v>
      </c>
      <c r="J26" s="35">
        <f t="shared" si="2"/>
        <v>0</v>
      </c>
      <c r="K26" s="35">
        <v>10</v>
      </c>
      <c r="L26" s="35">
        <v>3330</v>
      </c>
      <c r="M26" s="35">
        <v>3330</v>
      </c>
      <c r="N26" s="35">
        <v>3330</v>
      </c>
      <c r="O26" s="35">
        <v>3330</v>
      </c>
      <c r="P26" s="35">
        <v>3330</v>
      </c>
      <c r="Q26" s="35" t="s">
        <v>1600</v>
      </c>
      <c r="R26" s="45" t="s">
        <v>81</v>
      </c>
      <c r="S26" s="35" t="s">
        <v>4138</v>
      </c>
      <c r="T26" s="35" t="s">
        <v>4138</v>
      </c>
      <c r="U26" s="35" t="s">
        <v>4138</v>
      </c>
      <c r="V26" s="35" t="s">
        <v>1207</v>
      </c>
      <c r="W26" s="35" t="s">
        <v>603</v>
      </c>
      <c r="X26" s="35" t="s">
        <v>1600</v>
      </c>
      <c r="Y26" s="37" t="s">
        <v>4071</v>
      </c>
      <c r="Z26" s="39">
        <v>46248</v>
      </c>
      <c r="AA26" s="39">
        <v>46253</v>
      </c>
      <c r="AB26" s="39"/>
      <c r="AC26" s="39">
        <v>46269</v>
      </c>
      <c r="AD26" s="40" t="s">
        <v>4145</v>
      </c>
      <c r="AE26" s="2" t="s">
        <v>4147</v>
      </c>
      <c r="AF26" s="2" t="s">
        <v>1794</v>
      </c>
    </row>
    <row r="27" s="2" customFormat="1" ht="36" customHeight="1" spans="1:32">
      <c r="A27" s="34">
        <f t="shared" si="0"/>
        <v>24</v>
      </c>
      <c r="B27" s="37" t="s">
        <v>420</v>
      </c>
      <c r="C27" s="37" t="s">
        <v>4068</v>
      </c>
      <c r="D27" s="37" t="s">
        <v>4167</v>
      </c>
      <c r="E27" s="37" t="s">
        <v>4168</v>
      </c>
      <c r="F27" s="36">
        <v>46191</v>
      </c>
      <c r="G27" s="36">
        <v>46254</v>
      </c>
      <c r="H27" s="36">
        <v>46254</v>
      </c>
      <c r="I27" s="36">
        <v>46224</v>
      </c>
      <c r="J27" s="35">
        <f t="shared" si="2"/>
        <v>23250</v>
      </c>
      <c r="K27" s="35">
        <v>10</v>
      </c>
      <c r="L27" s="35">
        <v>4650</v>
      </c>
      <c r="M27" s="35">
        <v>4650</v>
      </c>
      <c r="N27" s="35">
        <v>4650</v>
      </c>
      <c r="O27" s="35">
        <v>4650</v>
      </c>
      <c r="P27" s="35">
        <v>4650</v>
      </c>
      <c r="Q27" s="35" t="s">
        <v>1600</v>
      </c>
      <c r="R27" s="45" t="s">
        <v>81</v>
      </c>
      <c r="S27" s="35" t="s">
        <v>4138</v>
      </c>
      <c r="T27" s="35" t="s">
        <v>4138</v>
      </c>
      <c r="U27" s="35" t="s">
        <v>4138</v>
      </c>
      <c r="V27" s="35" t="s">
        <v>1207</v>
      </c>
      <c r="W27" s="35" t="s">
        <v>2198</v>
      </c>
      <c r="X27" s="35" t="s">
        <v>1600</v>
      </c>
      <c r="Y27" s="37" t="s">
        <v>4071</v>
      </c>
      <c r="Z27" s="39">
        <v>46258</v>
      </c>
      <c r="AA27" s="39">
        <v>46261</v>
      </c>
      <c r="AB27" s="39"/>
      <c r="AC27" s="39"/>
      <c r="AD27" s="40" t="s">
        <v>4169</v>
      </c>
      <c r="AE27" s="2" t="s">
        <v>4147</v>
      </c>
      <c r="AF27" s="2" t="s">
        <v>4170</v>
      </c>
    </row>
    <row r="28" s="2" customFormat="1" ht="36" customHeight="1" spans="1:32">
      <c r="A28" s="34">
        <f t="shared" si="0"/>
        <v>25</v>
      </c>
      <c r="B28" s="37" t="s">
        <v>420</v>
      </c>
      <c r="C28" s="37" t="s">
        <v>4068</v>
      </c>
      <c r="D28" s="37" t="s">
        <v>4171</v>
      </c>
      <c r="E28" s="37" t="s">
        <v>4172</v>
      </c>
      <c r="F28" s="36">
        <v>46191</v>
      </c>
      <c r="G28" s="36">
        <v>46261</v>
      </c>
      <c r="H28" s="36">
        <v>46261</v>
      </c>
      <c r="I28" s="36">
        <v>46224</v>
      </c>
      <c r="J28" s="35">
        <f t="shared" si="2"/>
        <v>8770</v>
      </c>
      <c r="K28" s="35">
        <v>10</v>
      </c>
      <c r="L28" s="35">
        <v>1754</v>
      </c>
      <c r="M28" s="35">
        <v>1754</v>
      </c>
      <c r="N28" s="35">
        <v>1754</v>
      </c>
      <c r="O28" s="35">
        <v>1754</v>
      </c>
      <c r="P28" s="35">
        <v>1754</v>
      </c>
      <c r="Q28" s="35" t="s">
        <v>1600</v>
      </c>
      <c r="R28" s="45" t="s">
        <v>81</v>
      </c>
      <c r="S28" s="35" t="s">
        <v>4138</v>
      </c>
      <c r="T28" s="35" t="s">
        <v>4138</v>
      </c>
      <c r="U28" s="35" t="s">
        <v>4138</v>
      </c>
      <c r="V28" s="35" t="s">
        <v>1207</v>
      </c>
      <c r="W28" s="35" t="s">
        <v>2198</v>
      </c>
      <c r="X28" s="35" t="s">
        <v>1600</v>
      </c>
      <c r="Y28" s="37" t="s">
        <v>4071</v>
      </c>
      <c r="Z28" s="39">
        <v>46261</v>
      </c>
      <c r="AA28" s="39">
        <v>46267</v>
      </c>
      <c r="AB28" s="39"/>
      <c r="AC28" s="39"/>
      <c r="AD28" s="40" t="s">
        <v>4173</v>
      </c>
      <c r="AE28" s="2" t="s">
        <v>4147</v>
      </c>
      <c r="AF28" s="2" t="s">
        <v>4170</v>
      </c>
    </row>
    <row r="29" s="2" customFormat="1" ht="36" customHeight="1" spans="1:32">
      <c r="A29" s="34">
        <f t="shared" si="0"/>
        <v>26</v>
      </c>
      <c r="B29" s="37" t="s">
        <v>420</v>
      </c>
      <c r="C29" s="37" t="s">
        <v>4068</v>
      </c>
      <c r="D29" s="37" t="s">
        <v>4174</v>
      </c>
      <c r="E29" s="37" t="s">
        <v>4175</v>
      </c>
      <c r="F29" s="36">
        <v>46093</v>
      </c>
      <c r="G29" s="36">
        <v>46269</v>
      </c>
      <c r="H29" s="36">
        <v>46269</v>
      </c>
      <c r="I29" s="36">
        <v>46224</v>
      </c>
      <c r="J29" s="35">
        <f t="shared" si="2"/>
        <v>12230</v>
      </c>
      <c r="K29" s="35">
        <v>10</v>
      </c>
      <c r="L29" s="35">
        <v>2446</v>
      </c>
      <c r="M29" s="35">
        <v>2446</v>
      </c>
      <c r="N29" s="35">
        <v>2446</v>
      </c>
      <c r="O29" s="35">
        <v>2446</v>
      </c>
      <c r="P29" s="35">
        <v>2446</v>
      </c>
      <c r="Q29" s="35" t="s">
        <v>1444</v>
      </c>
      <c r="R29" s="45" t="s">
        <v>81</v>
      </c>
      <c r="S29" s="38" t="s">
        <v>4176</v>
      </c>
      <c r="T29" s="38" t="s">
        <v>4176</v>
      </c>
      <c r="U29" s="38" t="s">
        <v>4176</v>
      </c>
      <c r="V29" s="35" t="s">
        <v>1660</v>
      </c>
      <c r="W29" s="35" t="s">
        <v>2198</v>
      </c>
      <c r="X29" s="35" t="s">
        <v>1444</v>
      </c>
      <c r="Y29" s="37" t="s">
        <v>4071</v>
      </c>
      <c r="Z29" s="39">
        <v>46269</v>
      </c>
      <c r="AA29" s="39">
        <v>46276</v>
      </c>
      <c r="AB29" s="39"/>
      <c r="AC29" s="39"/>
      <c r="AD29" s="40" t="s">
        <v>4177</v>
      </c>
      <c r="AE29" s="2" t="s">
        <v>4147</v>
      </c>
      <c r="AF29" s="2" t="s">
        <v>4170</v>
      </c>
    </row>
    <row r="30" s="2" customFormat="1" ht="36" customHeight="1" spans="1:32">
      <c r="A30" s="59">
        <f t="shared" si="0"/>
        <v>27</v>
      </c>
      <c r="B30" s="66" t="s">
        <v>420</v>
      </c>
      <c r="C30" s="66" t="s">
        <v>4068</v>
      </c>
      <c r="D30" s="66" t="s">
        <v>4178</v>
      </c>
      <c r="E30" s="66" t="s">
        <v>4179</v>
      </c>
      <c r="F30" s="61">
        <v>46093</v>
      </c>
      <c r="G30" s="61">
        <v>46276</v>
      </c>
      <c r="H30" s="61">
        <v>46276</v>
      </c>
      <c r="I30" s="61">
        <v>46248</v>
      </c>
      <c r="J30" s="60">
        <f t="shared" si="2"/>
        <v>5260</v>
      </c>
      <c r="K30" s="60">
        <v>10</v>
      </c>
      <c r="L30" s="62">
        <v>1052</v>
      </c>
      <c r="M30" s="62">
        <v>1052</v>
      </c>
      <c r="N30" s="62">
        <v>1052</v>
      </c>
      <c r="O30" s="62">
        <v>1052</v>
      </c>
      <c r="P30" s="62">
        <v>1052</v>
      </c>
      <c r="Q30" s="63" t="s">
        <v>1444</v>
      </c>
      <c r="R30" s="64" t="s">
        <v>81</v>
      </c>
      <c r="S30" s="65" t="s">
        <v>4176</v>
      </c>
      <c r="T30" s="65" t="s">
        <v>4176</v>
      </c>
      <c r="U30" s="65" t="s">
        <v>4176</v>
      </c>
      <c r="V30" s="60" t="s">
        <v>1660</v>
      </c>
      <c r="W30" s="60" t="s">
        <v>4180</v>
      </c>
      <c r="X30" s="60" t="s">
        <v>1444</v>
      </c>
      <c r="Y30" s="66" t="s">
        <v>4071</v>
      </c>
      <c r="Z30" s="67">
        <v>46276</v>
      </c>
      <c r="AA30" s="68">
        <v>46280</v>
      </c>
      <c r="AB30" s="68"/>
      <c r="AC30" s="68"/>
      <c r="AD30" s="70" t="s">
        <v>4181</v>
      </c>
      <c r="AE30" s="2" t="s">
        <v>4147</v>
      </c>
      <c r="AF30" s="2" t="s">
        <v>4170</v>
      </c>
    </row>
    <row r="31" s="2" customFormat="1" ht="36" customHeight="1" spans="1:32">
      <c r="A31" s="59">
        <f t="shared" si="0"/>
        <v>28</v>
      </c>
      <c r="B31" s="66" t="s">
        <v>420</v>
      </c>
      <c r="C31" s="66" t="s">
        <v>4068</v>
      </c>
      <c r="D31" s="66" t="s">
        <v>4182</v>
      </c>
      <c r="E31" s="66" t="s">
        <v>4183</v>
      </c>
      <c r="F31" s="61">
        <v>46093</v>
      </c>
      <c r="G31" s="61">
        <v>46283</v>
      </c>
      <c r="H31" s="61">
        <v>46283</v>
      </c>
      <c r="I31" s="61">
        <v>46248</v>
      </c>
      <c r="J31" s="60">
        <f t="shared" si="2"/>
        <v>7340</v>
      </c>
      <c r="K31" s="60">
        <v>10</v>
      </c>
      <c r="L31" s="62">
        <v>1468</v>
      </c>
      <c r="M31" s="62">
        <v>1468</v>
      </c>
      <c r="N31" s="62">
        <v>1468</v>
      </c>
      <c r="O31" s="62">
        <v>1468</v>
      </c>
      <c r="P31" s="62">
        <v>1468</v>
      </c>
      <c r="Q31" s="63" t="s">
        <v>1444</v>
      </c>
      <c r="R31" s="64" t="s">
        <v>81</v>
      </c>
      <c r="S31" s="65" t="s">
        <v>4176</v>
      </c>
      <c r="T31" s="65" t="s">
        <v>4176</v>
      </c>
      <c r="U31" s="65" t="s">
        <v>4176</v>
      </c>
      <c r="V31" s="60" t="s">
        <v>1660</v>
      </c>
      <c r="W31" s="60" t="s">
        <v>4180</v>
      </c>
      <c r="X31" s="60" t="s">
        <v>1444</v>
      </c>
      <c r="Y31" s="66" t="s">
        <v>4071</v>
      </c>
      <c r="Z31" s="67">
        <v>46283</v>
      </c>
      <c r="AA31" s="68"/>
      <c r="AB31" s="68"/>
      <c r="AC31" s="68"/>
      <c r="AD31" s="70" t="s">
        <v>4184</v>
      </c>
      <c r="AE31" s="2" t="s">
        <v>4147</v>
      </c>
      <c r="AF31" s="2" t="s">
        <v>4170</v>
      </c>
    </row>
    <row r="32" s="2" customFormat="1" ht="36" customHeight="1" spans="1:32">
      <c r="A32" s="59">
        <f t="shared" si="0"/>
        <v>29</v>
      </c>
      <c r="B32" s="86" t="s">
        <v>420</v>
      </c>
      <c r="C32" s="86" t="s">
        <v>4068</v>
      </c>
      <c r="D32" s="86" t="s">
        <v>4185</v>
      </c>
      <c r="E32" s="66" t="s">
        <v>4186</v>
      </c>
      <c r="F32" s="85">
        <v>46196</v>
      </c>
      <c r="G32" s="85">
        <v>46304</v>
      </c>
      <c r="H32" s="85">
        <v>46304</v>
      </c>
      <c r="I32" s="85">
        <v>46261</v>
      </c>
      <c r="J32" s="84">
        <f t="shared" si="2"/>
        <v>9930</v>
      </c>
      <c r="K32" s="84">
        <v>10</v>
      </c>
      <c r="L32" s="62">
        <v>1986</v>
      </c>
      <c r="M32" s="62">
        <v>1986</v>
      </c>
      <c r="N32" s="62">
        <v>1986</v>
      </c>
      <c r="O32" s="62">
        <v>1986</v>
      </c>
      <c r="P32" s="62">
        <v>1986</v>
      </c>
      <c r="Q32" s="63" t="s">
        <v>1444</v>
      </c>
      <c r="R32" s="64" t="s">
        <v>81</v>
      </c>
      <c r="S32" s="65" t="s">
        <v>4176</v>
      </c>
      <c r="T32" s="65" t="s">
        <v>4176</v>
      </c>
      <c r="U32" s="65" t="s">
        <v>4176</v>
      </c>
      <c r="V32" s="60" t="s">
        <v>1660</v>
      </c>
      <c r="W32" s="185" t="s">
        <v>4187</v>
      </c>
      <c r="X32" s="60" t="s">
        <v>1444</v>
      </c>
      <c r="Y32" s="66" t="s">
        <v>4188</v>
      </c>
      <c r="Z32" s="67">
        <v>46304</v>
      </c>
      <c r="AA32" s="68"/>
      <c r="AB32" s="68"/>
      <c r="AC32" s="68"/>
      <c r="AD32" s="70" t="s">
        <v>643</v>
      </c>
      <c r="AE32" s="2" t="s">
        <v>4147</v>
      </c>
      <c r="AF32" s="2" t="s">
        <v>4170</v>
      </c>
    </row>
    <row r="33" s="2" customFormat="1" ht="36" customHeight="1" spans="1:32">
      <c r="A33" s="59">
        <f t="shared" si="0"/>
        <v>30</v>
      </c>
      <c r="B33" s="86" t="s">
        <v>420</v>
      </c>
      <c r="C33" s="86" t="s">
        <v>4068</v>
      </c>
      <c r="D33" s="86" t="s">
        <v>4189</v>
      </c>
      <c r="E33" s="66" t="s">
        <v>4190</v>
      </c>
      <c r="F33" s="85">
        <v>46196</v>
      </c>
      <c r="G33" s="85">
        <v>46304</v>
      </c>
      <c r="H33" s="85">
        <v>46304</v>
      </c>
      <c r="I33" s="85">
        <v>46261</v>
      </c>
      <c r="J33" s="84">
        <f t="shared" si="2"/>
        <v>7070</v>
      </c>
      <c r="K33" s="84">
        <v>10</v>
      </c>
      <c r="L33" s="62">
        <v>1414</v>
      </c>
      <c r="M33" s="62">
        <v>1414</v>
      </c>
      <c r="N33" s="62">
        <v>1414</v>
      </c>
      <c r="O33" s="62">
        <v>1414</v>
      </c>
      <c r="P33" s="62">
        <v>1414</v>
      </c>
      <c r="Q33" s="63" t="s">
        <v>1444</v>
      </c>
      <c r="R33" s="64" t="s">
        <v>81</v>
      </c>
      <c r="S33" s="65" t="s">
        <v>4176</v>
      </c>
      <c r="T33" s="65" t="s">
        <v>4176</v>
      </c>
      <c r="U33" s="65" t="s">
        <v>4176</v>
      </c>
      <c r="V33" s="60" t="s">
        <v>1660</v>
      </c>
      <c r="W33" s="186" t="s">
        <v>4191</v>
      </c>
      <c r="X33" s="60" t="s">
        <v>1444</v>
      </c>
      <c r="Y33" s="66" t="s">
        <v>4188</v>
      </c>
      <c r="Z33" s="67">
        <v>46304</v>
      </c>
      <c r="AA33" s="68"/>
      <c r="AB33" s="68"/>
      <c r="AC33" s="68"/>
      <c r="AD33" s="70" t="s">
        <v>641</v>
      </c>
      <c r="AE33" s="2" t="s">
        <v>4147</v>
      </c>
      <c r="AF33" s="2" t="s">
        <v>4170</v>
      </c>
    </row>
    <row r="34" s="2" customFormat="1" ht="33.6" customHeight="1" spans="1:32">
      <c r="A34" s="59">
        <f t="shared" si="0"/>
        <v>31</v>
      </c>
      <c r="B34" s="87" t="s">
        <v>420</v>
      </c>
      <c r="C34" s="87" t="s">
        <v>4068</v>
      </c>
      <c r="D34" s="87" t="s">
        <v>4192</v>
      </c>
      <c r="E34" s="87" t="s">
        <v>4193</v>
      </c>
      <c r="F34" s="89">
        <v>46258</v>
      </c>
      <c r="G34" s="89">
        <v>46285</v>
      </c>
      <c r="H34" s="89">
        <v>46328</v>
      </c>
      <c r="I34" s="89"/>
      <c r="J34" s="88">
        <f t="shared" si="2"/>
        <v>60000</v>
      </c>
      <c r="K34" s="88">
        <v>10</v>
      </c>
      <c r="L34" s="62">
        <v>12000</v>
      </c>
      <c r="M34" s="62">
        <v>12000</v>
      </c>
      <c r="N34" s="62">
        <v>12000</v>
      </c>
      <c r="O34" s="62">
        <v>12000</v>
      </c>
      <c r="P34" s="62">
        <v>12000</v>
      </c>
      <c r="Q34" s="63" t="s">
        <v>3869</v>
      </c>
      <c r="R34" s="64" t="s">
        <v>81</v>
      </c>
      <c r="S34" s="65"/>
      <c r="T34" s="65"/>
      <c r="U34" s="65"/>
      <c r="V34" s="60"/>
      <c r="W34" s="60"/>
      <c r="X34" s="60" t="s">
        <v>3869</v>
      </c>
      <c r="Y34" s="66" t="s">
        <v>4071</v>
      </c>
      <c r="Z34" s="67">
        <v>46328</v>
      </c>
      <c r="AA34" s="68"/>
      <c r="AB34" s="68"/>
      <c r="AC34" s="68"/>
      <c r="AD34" s="70" t="s">
        <v>4194</v>
      </c>
      <c r="AE34" s="2" t="s">
        <v>4147</v>
      </c>
      <c r="AF34" s="2" t="s">
        <v>4195</v>
      </c>
    </row>
    <row r="35" s="2" customFormat="1" ht="33.6" customHeight="1" spans="1:32">
      <c r="A35" s="59">
        <f t="shared" si="0"/>
        <v>32</v>
      </c>
      <c r="B35" s="66"/>
      <c r="C35" s="66"/>
      <c r="D35" s="66"/>
      <c r="E35" s="66"/>
      <c r="F35" s="61"/>
      <c r="G35" s="61"/>
      <c r="H35" s="61"/>
      <c r="I35" s="61"/>
      <c r="J35" s="60"/>
      <c r="K35" s="60"/>
      <c r="L35" s="62"/>
      <c r="M35" s="62"/>
      <c r="N35" s="62"/>
      <c r="O35" s="62"/>
      <c r="P35" s="62"/>
      <c r="Q35" s="63"/>
      <c r="R35" s="64"/>
      <c r="S35" s="60"/>
      <c r="T35" s="60"/>
      <c r="U35" s="60"/>
      <c r="V35" s="60"/>
      <c r="W35" s="60"/>
      <c r="X35" s="60"/>
      <c r="Y35" s="60"/>
      <c r="Z35" s="67"/>
      <c r="AA35" s="68"/>
      <c r="AB35" s="68"/>
      <c r="AC35" s="68"/>
      <c r="AD35" s="70"/>
    </row>
    <row r="36" s="3" customFormat="1" ht="17.1" customHeight="1" spans="1:32">
      <c r="A36" s="93" t="s">
        <v>66</v>
      </c>
      <c r="B36" s="94"/>
      <c r="C36" s="94"/>
      <c r="D36" s="94"/>
      <c r="E36" s="94"/>
      <c r="F36" s="94"/>
      <c r="G36" s="94"/>
      <c r="H36" s="94"/>
      <c r="I36" s="94"/>
      <c r="J36" s="95">
        <f>SUM(J4:J6)</f>
        <v>15490</v>
      </c>
      <c r="K36" s="95"/>
      <c r="L36" s="95">
        <f>SUM(L4:L35)</f>
        <v>59596</v>
      </c>
      <c r="M36" s="95">
        <f>SUM(M4:M35)</f>
        <v>59596</v>
      </c>
      <c r="N36" s="95">
        <f>SUM(N4:N35)</f>
        <v>59596</v>
      </c>
      <c r="O36" s="95">
        <f>SUM(O4:O35)</f>
        <v>59596</v>
      </c>
      <c r="P36" s="95">
        <f>SUM(P4:P35)</f>
        <v>59596</v>
      </c>
      <c r="Q36" s="96"/>
      <c r="R36" s="96"/>
      <c r="S36" s="96"/>
      <c r="T36" s="96"/>
      <c r="U36" s="96"/>
      <c r="V36" s="96"/>
      <c r="W36" s="96"/>
      <c r="X36" s="96"/>
      <c r="Y36" s="97"/>
      <c r="Z36" s="97"/>
      <c r="AA36" s="97"/>
      <c r="AB36" s="97"/>
      <c r="AC36" s="97"/>
      <c r="AD36" s="98"/>
    </row>
    <row r="37" s="4" customFormat="1" ht="17.1" customHeight="1" spans="1:32">
      <c r="A37" s="99"/>
      <c r="B37" s="100"/>
      <c r="C37" s="100"/>
      <c r="D37" s="100"/>
      <c r="E37" s="100"/>
      <c r="F37" s="100"/>
      <c r="G37" s="100"/>
      <c r="H37" s="100"/>
      <c r="I37" s="100"/>
      <c r="J37" s="133">
        <f>SUM(L37:P37)</f>
        <v>297980</v>
      </c>
      <c r="K37" s="100"/>
      <c r="L37" s="100">
        <f t="shared" ref="L37:P37" si="3">5934+1522+6080+1680+2100+5880+9630+14770+12000</f>
        <v>59596</v>
      </c>
      <c r="M37" s="100">
        <f t="shared" si="3"/>
        <v>59596</v>
      </c>
      <c r="N37" s="100">
        <f t="shared" si="3"/>
        <v>59596</v>
      </c>
      <c r="O37" s="100">
        <f t="shared" si="3"/>
        <v>59596</v>
      </c>
      <c r="P37" s="100">
        <f t="shared" si="3"/>
        <v>59596</v>
      </c>
      <c r="Q37" s="100"/>
      <c r="R37" s="100"/>
      <c r="S37" s="100"/>
      <c r="T37" s="100"/>
      <c r="U37" s="100"/>
      <c r="V37" s="100"/>
      <c r="W37" s="100"/>
      <c r="X37" s="100"/>
      <c r="Y37" s="100"/>
      <c r="Z37" s="101"/>
      <c r="AA37" s="101"/>
      <c r="AB37" s="101"/>
      <c r="AC37" s="101"/>
      <c r="AD37" s="102"/>
    </row>
    <row r="38" s="4" customFormat="1" ht="17.1" customHeight="1" spans="1:32">
      <c r="A38" s="103" t="s">
        <v>67</v>
      </c>
      <c r="B38" s="104"/>
      <c r="C38" s="104"/>
      <c r="D38" s="104"/>
      <c r="E38" s="104"/>
      <c r="F38" s="104"/>
      <c r="G38" s="104"/>
      <c r="H38" s="104"/>
      <c r="I38" s="104"/>
      <c r="J38" s="105">
        <f>SUM(L38:P38)</f>
        <v>0</v>
      </c>
      <c r="K38" s="104"/>
      <c r="L38" s="106">
        <f>L37-L36</f>
        <v>0</v>
      </c>
      <c r="M38" s="106">
        <f>M37-M36</f>
        <v>0</v>
      </c>
      <c r="N38" s="106">
        <f>N37-N36</f>
        <v>0</v>
      </c>
      <c r="O38" s="106">
        <f>O37-O36</f>
        <v>0</v>
      </c>
      <c r="P38" s="106">
        <f>P37-P36</f>
        <v>0</v>
      </c>
      <c r="Q38" s="107"/>
      <c r="R38" s="107"/>
      <c r="S38" s="107"/>
      <c r="T38" s="107"/>
      <c r="U38" s="107"/>
      <c r="V38" s="107"/>
      <c r="W38" s="107"/>
      <c r="X38" s="107"/>
      <c r="Y38" s="107"/>
      <c r="Z38" s="108"/>
      <c r="AA38" s="108"/>
      <c r="AB38" s="108"/>
      <c r="AC38" s="108"/>
      <c r="AD38" s="109"/>
    </row>
    <row r="39" customFormat="1" spans="1:32">
      <c r="B39" s="110" t="s">
        <v>68</v>
      </c>
      <c r="C39" s="110"/>
      <c r="D39" s="111"/>
      <c r="E39" s="111"/>
      <c r="F39" s="112"/>
      <c r="G39" s="112"/>
      <c r="H39" s="112"/>
      <c r="I39" s="112"/>
      <c r="Z39" s="113"/>
      <c r="AA39" s="113"/>
      <c r="AB39" s="113"/>
      <c r="AC39" s="114"/>
    </row>
  </sheetData>
  <autoFilter xmlns:etc="http://www.wps.cn/officeDocument/2017/etCustomData" ref="A3:AE39" etc:filterBottomFollowUsedRange="0">
    <filterColumn colId="28">
      <filters blank="1"/>
    </filterColumn>
    <extLst/>
  </autoFilter>
  <mergeCells count="32">
    <mergeCell ref="A1:Z1"/>
    <mergeCell ref="AA1:AB1"/>
    <mergeCell ref="AC1:AD1"/>
    <mergeCell ref="L2:P2"/>
    <mergeCell ref="A36:I36"/>
    <mergeCell ref="A37:I37"/>
    <mergeCell ref="A38:I3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38:P38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354166666666667" header="0.313888888888889" footer="0.313888888888889"/>
  <pageSetup paperSize="9" scale="57" orientation="landscape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AF37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Q44" sqref="Q44"/>
    </sheetView>
  </sheetViews>
  <sheetFormatPr defaultColWidth="9" defaultRowHeight="14.25"/>
  <cols>
    <col min="1" max="1" width="3.125" style="6" customWidth="1"/>
    <col min="2" max="2" width="8.625" style="6" customWidth="1"/>
    <col min="3" max="3" width="7.5" style="6" customWidth="1"/>
    <col min="4" max="5" width="12" style="6" customWidth="1"/>
    <col min="6" max="9" width="5.5" style="7" customWidth="1"/>
    <col min="10" max="10" width="8.375" style="6" customWidth="1"/>
    <col min="11" max="11" width="4.875" style="6" customWidth="1"/>
    <col min="12" max="12" width="7.875" style="6" customWidth="1"/>
    <col min="13" max="15" width="6.625" style="6" customWidth="1"/>
    <col min="16" max="16" width="6.5" style="6" customWidth="1"/>
    <col min="17" max="17" width="8.375" style="6" customWidth="1"/>
    <col min="18" max="18" width="5.125" style="6" customWidth="1"/>
    <col min="19" max="23" width="6" style="6" customWidth="1"/>
    <col min="24" max="24" width="8.125" style="6" customWidth="1"/>
    <col min="25" max="25" width="20.5" style="6" customWidth="1"/>
    <col min="26" max="26" width="9" style="8" customWidth="1"/>
    <col min="27" max="27" width="8.625" style="8" customWidth="1"/>
    <col min="28" max="28" width="8.5" style="8" customWidth="1"/>
    <col min="29" max="29" width="9.125" style="8" customWidth="1"/>
    <col min="30" max="30" width="18" style="6" customWidth="1"/>
    <col min="31" max="31" width="17.375" style="6" customWidth="1"/>
    <col min="32" max="32" width="10.625" style="6" customWidth="1"/>
    <col min="33" max="16384" width="9" style="6"/>
  </cols>
  <sheetData>
    <row r="1" ht="35.1" customHeight="1" spans="1:32">
      <c r="A1" s="9" t="s">
        <v>4196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46277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19" t="s">
        <v>15</v>
      </c>
      <c r="S2" s="21" t="s">
        <v>16</v>
      </c>
      <c r="T2" s="21" t="s">
        <v>1082</v>
      </c>
      <c r="U2" s="21" t="s">
        <v>1081</v>
      </c>
      <c r="V2" s="141" t="s">
        <v>4021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4063</v>
      </c>
      <c r="M3" s="30" t="s">
        <v>4064</v>
      </c>
      <c r="N3" s="30" t="s">
        <v>4065</v>
      </c>
      <c r="O3" s="30" t="s">
        <v>4066</v>
      </c>
      <c r="P3" s="30" t="s">
        <v>4067</v>
      </c>
      <c r="Q3" s="19"/>
      <c r="R3" s="19"/>
      <c r="S3" s="21"/>
      <c r="T3" s="21"/>
      <c r="U3" s="21"/>
      <c r="V3" s="141"/>
      <c r="W3" s="21"/>
      <c r="X3" s="21"/>
      <c r="Y3" s="24"/>
      <c r="Z3" s="25"/>
      <c r="AA3" s="26"/>
      <c r="AB3" s="26"/>
      <c r="AC3" s="26"/>
      <c r="AD3" s="27"/>
    </row>
    <row r="4" s="2" customFormat="1" ht="36" hidden="1" customHeight="1" spans="1:32">
      <c r="A4" s="34">
        <f t="shared" ref="A4:A22" si="0">ROW()-3</f>
        <v>1</v>
      </c>
      <c r="B4" s="35" t="s">
        <v>2890</v>
      </c>
      <c r="C4" s="35" t="s">
        <v>1674</v>
      </c>
      <c r="D4" s="35" t="s">
        <v>4197</v>
      </c>
      <c r="E4" s="35" t="s">
        <v>4198</v>
      </c>
      <c r="F4" s="36">
        <v>46041</v>
      </c>
      <c r="G4" s="36">
        <v>46137</v>
      </c>
      <c r="H4" s="36">
        <v>46137</v>
      </c>
      <c r="I4" s="36">
        <v>46106</v>
      </c>
      <c r="J4" s="35">
        <v>25000</v>
      </c>
      <c r="K4" s="35">
        <v>10</v>
      </c>
      <c r="L4" s="37">
        <v>5000</v>
      </c>
      <c r="M4" s="37">
        <v>5000</v>
      </c>
      <c r="N4" s="37">
        <v>5000</v>
      </c>
      <c r="O4" s="37">
        <v>5000</v>
      </c>
      <c r="P4" s="37">
        <v>5000</v>
      </c>
      <c r="Q4" s="35" t="s">
        <v>127</v>
      </c>
      <c r="R4" s="45" t="s">
        <v>104</v>
      </c>
      <c r="S4" s="38" t="s">
        <v>730</v>
      </c>
      <c r="T4" s="38" t="s">
        <v>3735</v>
      </c>
      <c r="U4" s="38" t="s">
        <v>4199</v>
      </c>
      <c r="V4" s="38" t="s">
        <v>3735</v>
      </c>
      <c r="W4" s="35" t="s">
        <v>4200</v>
      </c>
      <c r="X4" s="35" t="s">
        <v>127</v>
      </c>
      <c r="Y4" s="35" t="s">
        <v>4201</v>
      </c>
      <c r="Z4" s="39">
        <v>46137</v>
      </c>
      <c r="AA4" s="44" t="s">
        <v>4202</v>
      </c>
      <c r="AB4" s="39">
        <v>46142</v>
      </c>
      <c r="AC4" s="39">
        <v>46161</v>
      </c>
      <c r="AD4" s="40">
        <v>2586043</v>
      </c>
      <c r="AE4" s="2" t="s">
        <v>4203</v>
      </c>
      <c r="AF4" s="2" t="s">
        <v>1607</v>
      </c>
    </row>
    <row r="5" s="2" customFormat="1" ht="36.95" hidden="1" customHeight="1" spans="1:32">
      <c r="A5" s="47">
        <f t="shared" si="0"/>
        <v>2</v>
      </c>
      <c r="B5" s="37" t="s">
        <v>2890</v>
      </c>
      <c r="C5" s="37" t="s">
        <v>1674</v>
      </c>
      <c r="D5" s="37" t="s">
        <v>4204</v>
      </c>
      <c r="E5" s="37" t="s">
        <v>4205</v>
      </c>
      <c r="F5" s="56">
        <v>46079</v>
      </c>
      <c r="G5" s="56">
        <v>46158</v>
      </c>
      <c r="H5" s="56">
        <v>46158</v>
      </c>
      <c r="I5" s="56">
        <v>46106</v>
      </c>
      <c r="J5" s="37">
        <f t="shared" ref="J5:J13" si="1">SUM(L5:P5)</f>
        <v>23030</v>
      </c>
      <c r="K5" s="37">
        <v>10</v>
      </c>
      <c r="L5" s="37">
        <v>4606</v>
      </c>
      <c r="M5" s="37">
        <v>4606</v>
      </c>
      <c r="N5" s="37">
        <v>4606</v>
      </c>
      <c r="O5" s="37">
        <v>4606</v>
      </c>
      <c r="P5" s="37">
        <v>4606</v>
      </c>
      <c r="Q5" s="37" t="s">
        <v>2495</v>
      </c>
      <c r="R5" s="46" t="s">
        <v>104</v>
      </c>
      <c r="S5" s="54" t="s">
        <v>4154</v>
      </c>
      <c r="T5" s="54" t="s">
        <v>3735</v>
      </c>
      <c r="U5" s="54" t="s">
        <v>4154</v>
      </c>
      <c r="V5" s="54" t="s">
        <v>3735</v>
      </c>
      <c r="W5" s="37" t="s">
        <v>4200</v>
      </c>
      <c r="X5" s="37" t="s">
        <v>2495</v>
      </c>
      <c r="Y5" s="37" t="s">
        <v>4201</v>
      </c>
      <c r="Z5" s="44">
        <v>46158</v>
      </c>
      <c r="AA5" s="44">
        <v>46157</v>
      </c>
      <c r="AB5" s="44">
        <v>46164</v>
      </c>
      <c r="AC5" s="44" t="s">
        <v>4206</v>
      </c>
      <c r="AD5" s="55">
        <v>2592511</v>
      </c>
      <c r="AE5" s="2" t="s">
        <v>4203</v>
      </c>
      <c r="AF5" s="2" t="s">
        <v>1607</v>
      </c>
    </row>
    <row r="6" s="2" customFormat="1" ht="36" hidden="1" customHeight="1" spans="1:32">
      <c r="A6" s="47">
        <f t="shared" si="0"/>
        <v>3</v>
      </c>
      <c r="B6" s="37" t="s">
        <v>4207</v>
      </c>
      <c r="C6" s="37" t="s">
        <v>421</v>
      </c>
      <c r="D6" s="37" t="s">
        <v>4208</v>
      </c>
      <c r="E6" s="37" t="s">
        <v>4209</v>
      </c>
      <c r="F6" s="56">
        <v>46093</v>
      </c>
      <c r="G6" s="56">
        <v>46161</v>
      </c>
      <c r="H6" s="56">
        <v>46161</v>
      </c>
      <c r="I6" s="56">
        <v>46136</v>
      </c>
      <c r="J6" s="37">
        <f t="shared" si="1"/>
        <v>18500</v>
      </c>
      <c r="K6" s="37">
        <v>10</v>
      </c>
      <c r="L6" s="37">
        <v>3700</v>
      </c>
      <c r="M6" s="37">
        <v>3700</v>
      </c>
      <c r="N6" s="37">
        <v>3700</v>
      </c>
      <c r="O6" s="37">
        <v>3700</v>
      </c>
      <c r="P6" s="37">
        <v>3700</v>
      </c>
      <c r="Q6" s="37" t="s">
        <v>2495</v>
      </c>
      <c r="R6" s="46" t="s">
        <v>196</v>
      </c>
      <c r="S6" s="37" t="s">
        <v>4083</v>
      </c>
      <c r="T6" s="37" t="s">
        <v>4083</v>
      </c>
      <c r="U6" s="37" t="s">
        <v>4083</v>
      </c>
      <c r="V6" s="54" t="s">
        <v>4084</v>
      </c>
      <c r="W6" s="37" t="s">
        <v>501</v>
      </c>
      <c r="X6" s="37" t="s">
        <v>2495</v>
      </c>
      <c r="Y6" s="37" t="s">
        <v>4210</v>
      </c>
      <c r="Z6" s="44">
        <v>46161</v>
      </c>
      <c r="AA6" s="44">
        <v>46171</v>
      </c>
      <c r="AB6" s="44"/>
      <c r="AC6" s="44" t="s">
        <v>4211</v>
      </c>
      <c r="AD6" s="55" t="s">
        <v>4212</v>
      </c>
      <c r="AE6" s="2" t="s">
        <v>4213</v>
      </c>
      <c r="AF6" s="2" t="s">
        <v>1610</v>
      </c>
    </row>
    <row r="7" s="2" customFormat="1" ht="27.75" hidden="1" customHeight="1" spans="1:32">
      <c r="A7" s="47">
        <f t="shared" si="0"/>
        <v>4</v>
      </c>
      <c r="B7" s="37" t="s">
        <v>725</v>
      </c>
      <c r="C7" s="37" t="s">
        <v>726</v>
      </c>
      <c r="D7" s="37" t="s">
        <v>4214</v>
      </c>
      <c r="E7" s="37" t="s">
        <v>4215</v>
      </c>
      <c r="F7" s="56">
        <v>46083</v>
      </c>
      <c r="G7" s="56">
        <v>46164</v>
      </c>
      <c r="H7" s="56">
        <v>46164</v>
      </c>
      <c r="I7" s="56">
        <v>46099</v>
      </c>
      <c r="J7" s="37">
        <f t="shared" si="1"/>
        <v>12320</v>
      </c>
      <c r="K7" s="37">
        <v>10</v>
      </c>
      <c r="L7" s="37">
        <v>2464</v>
      </c>
      <c r="M7" s="37">
        <v>2464</v>
      </c>
      <c r="N7" s="37">
        <v>2464</v>
      </c>
      <c r="O7" s="37">
        <v>2464</v>
      </c>
      <c r="P7" s="37">
        <v>2464</v>
      </c>
      <c r="Q7" s="37" t="s">
        <v>2495</v>
      </c>
      <c r="R7" s="46" t="s">
        <v>104</v>
      </c>
      <c r="S7" s="54" t="s">
        <v>4154</v>
      </c>
      <c r="T7" s="37" t="s">
        <v>4083</v>
      </c>
      <c r="U7" s="54" t="s">
        <v>4154</v>
      </c>
      <c r="V7" s="54" t="s">
        <v>4084</v>
      </c>
      <c r="W7" s="37" t="s">
        <v>4085</v>
      </c>
      <c r="X7" s="37" t="s">
        <v>2495</v>
      </c>
      <c r="Y7" s="37" t="s">
        <v>4216</v>
      </c>
      <c r="Z7" s="44">
        <v>46164</v>
      </c>
      <c r="AA7" s="44">
        <v>46171</v>
      </c>
      <c r="AB7" s="44"/>
      <c r="AC7" s="44">
        <v>46202</v>
      </c>
      <c r="AD7" s="55">
        <v>4400545904</v>
      </c>
      <c r="AE7" s="2" t="s">
        <v>4217</v>
      </c>
      <c r="AF7" s="2" t="s">
        <v>1610</v>
      </c>
    </row>
    <row r="8" s="2" customFormat="1" ht="27.75" hidden="1" customHeight="1" spans="1:32">
      <c r="A8" s="34">
        <f t="shared" si="0"/>
        <v>5</v>
      </c>
      <c r="B8" s="48" t="s">
        <v>740</v>
      </c>
      <c r="C8" s="49" t="s">
        <v>741</v>
      </c>
      <c r="D8" s="50" t="s">
        <v>742</v>
      </c>
      <c r="E8" s="51" t="s">
        <v>743</v>
      </c>
      <c r="F8" s="52">
        <v>46083</v>
      </c>
      <c r="G8" s="52">
        <v>46165</v>
      </c>
      <c r="H8" s="52">
        <v>46165</v>
      </c>
      <c r="I8" s="53">
        <v>46133</v>
      </c>
      <c r="J8" s="35">
        <f t="shared" si="1"/>
        <v>1500</v>
      </c>
      <c r="K8" s="35">
        <v>10</v>
      </c>
      <c r="L8" s="37">
        <v>300</v>
      </c>
      <c r="M8" s="37">
        <v>300</v>
      </c>
      <c r="N8" s="37">
        <v>300</v>
      </c>
      <c r="O8" s="37">
        <v>300</v>
      </c>
      <c r="P8" s="37">
        <v>300</v>
      </c>
      <c r="Q8" s="35" t="s">
        <v>2495</v>
      </c>
      <c r="R8" s="46" t="s">
        <v>104</v>
      </c>
      <c r="S8" s="35" t="s">
        <v>4083</v>
      </c>
      <c r="T8" s="35" t="s">
        <v>4083</v>
      </c>
      <c r="U8" s="35" t="s">
        <v>4083</v>
      </c>
      <c r="V8" s="38" t="s">
        <v>4084</v>
      </c>
      <c r="W8" s="35" t="s">
        <v>744</v>
      </c>
      <c r="X8" s="35" t="s">
        <v>2495</v>
      </c>
      <c r="Y8" s="37" t="s">
        <v>4218</v>
      </c>
      <c r="Z8" s="39">
        <v>46165</v>
      </c>
      <c r="AA8" s="44">
        <v>46169</v>
      </c>
      <c r="AB8" s="39"/>
      <c r="AC8" s="39">
        <v>46174</v>
      </c>
      <c r="AD8" s="40">
        <v>740</v>
      </c>
      <c r="AE8" s="2" t="s">
        <v>4203</v>
      </c>
      <c r="AF8" s="2" t="s">
        <v>3235</v>
      </c>
    </row>
    <row r="9" s="2" customFormat="1" ht="27.75" hidden="1" customHeight="1" spans="1:32">
      <c r="A9" s="34">
        <f t="shared" si="0"/>
        <v>6</v>
      </c>
      <c r="B9" s="35" t="s">
        <v>4207</v>
      </c>
      <c r="C9" s="35" t="s">
        <v>421</v>
      </c>
      <c r="D9" s="35" t="s">
        <v>4219</v>
      </c>
      <c r="E9" s="35" t="s">
        <v>4220</v>
      </c>
      <c r="F9" s="36">
        <v>46093</v>
      </c>
      <c r="G9" s="36">
        <v>46182</v>
      </c>
      <c r="H9" s="36">
        <v>46182</v>
      </c>
      <c r="I9" s="36">
        <v>46136</v>
      </c>
      <c r="J9" s="35">
        <f t="shared" si="1"/>
        <v>13110</v>
      </c>
      <c r="K9" s="35">
        <v>10</v>
      </c>
      <c r="L9" s="37">
        <v>2622</v>
      </c>
      <c r="M9" s="37">
        <v>2622</v>
      </c>
      <c r="N9" s="37">
        <v>2622</v>
      </c>
      <c r="O9" s="37">
        <v>2622</v>
      </c>
      <c r="P9" s="37">
        <v>2622</v>
      </c>
      <c r="Q9" s="35" t="s">
        <v>499</v>
      </c>
      <c r="R9" s="45" t="s">
        <v>196</v>
      </c>
      <c r="S9" s="35" t="s">
        <v>501</v>
      </c>
      <c r="T9" s="35" t="s">
        <v>501</v>
      </c>
      <c r="U9" s="35" t="s">
        <v>501</v>
      </c>
      <c r="V9" s="35" t="s">
        <v>1184</v>
      </c>
      <c r="W9" s="35" t="s">
        <v>501</v>
      </c>
      <c r="X9" s="35" t="s">
        <v>499</v>
      </c>
      <c r="Y9" s="37" t="s">
        <v>4221</v>
      </c>
      <c r="Z9" s="39">
        <v>46182</v>
      </c>
      <c r="AA9" s="57">
        <v>46188</v>
      </c>
      <c r="AB9" s="39"/>
      <c r="AC9" s="39">
        <v>46195</v>
      </c>
      <c r="AD9" s="40" t="s">
        <v>4222</v>
      </c>
      <c r="AE9" s="2" t="s">
        <v>4213</v>
      </c>
      <c r="AF9" s="2" t="s">
        <v>1610</v>
      </c>
    </row>
    <row r="10" s="2" customFormat="1" ht="30" hidden="1" customHeight="1" spans="1:32">
      <c r="A10" s="34">
        <f t="shared" si="0"/>
        <v>7</v>
      </c>
      <c r="B10" s="35" t="s">
        <v>3162</v>
      </c>
      <c r="C10" s="35" t="s">
        <v>360</v>
      </c>
      <c r="D10" s="37" t="s">
        <v>4223</v>
      </c>
      <c r="E10" s="35" t="s">
        <v>4224</v>
      </c>
      <c r="F10" s="36">
        <v>46099</v>
      </c>
      <c r="G10" s="36">
        <v>46177</v>
      </c>
      <c r="H10" s="36">
        <v>46177</v>
      </c>
      <c r="I10" s="36">
        <v>46134</v>
      </c>
      <c r="J10" s="35">
        <f t="shared" si="1"/>
        <v>2500</v>
      </c>
      <c r="K10" s="35">
        <v>10</v>
      </c>
      <c r="L10" s="37">
        <v>500</v>
      </c>
      <c r="M10" s="37">
        <v>500</v>
      </c>
      <c r="N10" s="37">
        <v>500</v>
      </c>
      <c r="O10" s="37">
        <v>500</v>
      </c>
      <c r="P10" s="37">
        <v>500</v>
      </c>
      <c r="Q10" s="35" t="s">
        <v>499</v>
      </c>
      <c r="R10" s="45" t="s">
        <v>104</v>
      </c>
      <c r="S10" s="35" t="s">
        <v>501</v>
      </c>
      <c r="T10" s="35" t="s">
        <v>501</v>
      </c>
      <c r="U10" s="35" t="s">
        <v>501</v>
      </c>
      <c r="V10" s="35" t="s">
        <v>1184</v>
      </c>
      <c r="W10" s="35" t="s">
        <v>1072</v>
      </c>
      <c r="X10" s="35" t="s">
        <v>499</v>
      </c>
      <c r="Y10" s="37" t="s">
        <v>4225</v>
      </c>
      <c r="Z10" s="39">
        <v>46177</v>
      </c>
      <c r="AA10" s="44">
        <v>46178</v>
      </c>
      <c r="AB10" s="39"/>
      <c r="AC10" s="39">
        <v>46179</v>
      </c>
      <c r="AD10" s="40" t="s">
        <v>4226</v>
      </c>
      <c r="AE10" s="41" t="s">
        <v>4203</v>
      </c>
      <c r="AF10" s="2" t="s">
        <v>2533</v>
      </c>
    </row>
    <row r="11" s="2" customFormat="1" ht="36" hidden="1" customHeight="1" spans="1:32">
      <c r="A11" s="34">
        <f t="shared" si="0"/>
        <v>8</v>
      </c>
      <c r="B11" s="35" t="s">
        <v>2890</v>
      </c>
      <c r="C11" s="35" t="s">
        <v>1674</v>
      </c>
      <c r="D11" s="37" t="s">
        <v>4227</v>
      </c>
      <c r="E11" s="35" t="s">
        <v>4228</v>
      </c>
      <c r="F11" s="36">
        <v>46079</v>
      </c>
      <c r="G11" s="36">
        <v>46177</v>
      </c>
      <c r="H11" s="36">
        <v>46177</v>
      </c>
      <c r="I11" s="36">
        <v>46106</v>
      </c>
      <c r="J11" s="35">
        <f t="shared" si="1"/>
        <v>14180</v>
      </c>
      <c r="K11" s="35">
        <v>10</v>
      </c>
      <c r="L11" s="37">
        <v>2836</v>
      </c>
      <c r="M11" s="37">
        <v>2836</v>
      </c>
      <c r="N11" s="37">
        <v>2836</v>
      </c>
      <c r="O11" s="37">
        <v>2836</v>
      </c>
      <c r="P11" s="37">
        <v>2836</v>
      </c>
      <c r="Q11" s="35" t="s">
        <v>499</v>
      </c>
      <c r="R11" s="45" t="s">
        <v>104</v>
      </c>
      <c r="S11" s="35" t="s">
        <v>501</v>
      </c>
      <c r="T11" s="35" t="s">
        <v>501</v>
      </c>
      <c r="U11" s="35" t="s">
        <v>501</v>
      </c>
      <c r="V11" s="35" t="s">
        <v>1184</v>
      </c>
      <c r="W11" s="35" t="s">
        <v>1072</v>
      </c>
      <c r="X11" s="35" t="s">
        <v>499</v>
      </c>
      <c r="Y11" s="35" t="s">
        <v>4201</v>
      </c>
      <c r="Z11" s="39">
        <v>46177</v>
      </c>
      <c r="AA11" s="57">
        <v>46184</v>
      </c>
      <c r="AB11" s="39">
        <v>46185</v>
      </c>
      <c r="AC11" s="39" t="s">
        <v>4229</v>
      </c>
      <c r="AD11" s="40">
        <v>2592514</v>
      </c>
      <c r="AE11" s="2" t="s">
        <v>4203</v>
      </c>
      <c r="AF11" s="2" t="s">
        <v>1607</v>
      </c>
    </row>
    <row r="12" s="2" customFormat="1" ht="27.75" hidden="1" customHeight="1" spans="1:32">
      <c r="A12" s="34">
        <f t="shared" si="0"/>
        <v>9</v>
      </c>
      <c r="B12" s="35" t="s">
        <v>4207</v>
      </c>
      <c r="C12" s="35" t="s">
        <v>421</v>
      </c>
      <c r="D12" s="37" t="s">
        <v>4230</v>
      </c>
      <c r="E12" s="35" t="s">
        <v>4231</v>
      </c>
      <c r="F12" s="36">
        <v>46113</v>
      </c>
      <c r="G12" s="36">
        <v>46183</v>
      </c>
      <c r="H12" s="36">
        <v>46183</v>
      </c>
      <c r="I12" s="36">
        <v>46136</v>
      </c>
      <c r="J12" s="35">
        <f t="shared" si="1"/>
        <v>4400</v>
      </c>
      <c r="K12" s="35">
        <v>10</v>
      </c>
      <c r="L12" s="35">
        <v>880</v>
      </c>
      <c r="M12" s="35">
        <v>880</v>
      </c>
      <c r="N12" s="35">
        <v>880</v>
      </c>
      <c r="O12" s="35">
        <v>880</v>
      </c>
      <c r="P12" s="35">
        <v>880</v>
      </c>
      <c r="Q12" s="35" t="s">
        <v>499</v>
      </c>
      <c r="R12" s="45" t="s">
        <v>196</v>
      </c>
      <c r="S12" s="35" t="s">
        <v>501</v>
      </c>
      <c r="T12" s="35" t="s">
        <v>501</v>
      </c>
      <c r="U12" s="35" t="s">
        <v>501</v>
      </c>
      <c r="V12" s="35" t="s">
        <v>1184</v>
      </c>
      <c r="W12" s="35" t="s">
        <v>1072</v>
      </c>
      <c r="X12" s="35" t="s">
        <v>499</v>
      </c>
      <c r="Y12" s="37" t="s">
        <v>4232</v>
      </c>
      <c r="Z12" s="39">
        <v>46183</v>
      </c>
      <c r="AA12" s="57">
        <v>46190</v>
      </c>
      <c r="AB12" s="39"/>
      <c r="AC12" s="39">
        <v>46196</v>
      </c>
      <c r="AD12" s="40" t="s">
        <v>4233</v>
      </c>
      <c r="AE12" s="2" t="s">
        <v>4213</v>
      </c>
      <c r="AF12" s="2" t="s">
        <v>2533</v>
      </c>
    </row>
    <row r="13" s="2" customFormat="1" ht="27.75" hidden="1" customHeight="1" spans="1:32">
      <c r="A13" s="34">
        <f t="shared" si="0"/>
        <v>10</v>
      </c>
      <c r="B13" s="35" t="s">
        <v>4207</v>
      </c>
      <c r="C13" s="35" t="s">
        <v>421</v>
      </c>
      <c r="D13" s="37" t="s">
        <v>4234</v>
      </c>
      <c r="E13" s="35" t="s">
        <v>4235</v>
      </c>
      <c r="F13" s="36">
        <v>46113</v>
      </c>
      <c r="G13" s="36">
        <v>46192</v>
      </c>
      <c r="H13" s="36">
        <v>46192</v>
      </c>
      <c r="I13" s="36">
        <v>46136</v>
      </c>
      <c r="J13" s="35">
        <f t="shared" si="1"/>
        <v>16500</v>
      </c>
      <c r="K13" s="35">
        <v>10</v>
      </c>
      <c r="L13" s="35">
        <v>3300</v>
      </c>
      <c r="M13" s="35">
        <v>3300</v>
      </c>
      <c r="N13" s="35">
        <v>3300</v>
      </c>
      <c r="O13" s="35">
        <v>3300</v>
      </c>
      <c r="P13" s="35">
        <v>3300</v>
      </c>
      <c r="Q13" s="35" t="s">
        <v>499</v>
      </c>
      <c r="R13" s="45" t="s">
        <v>196</v>
      </c>
      <c r="S13" s="35" t="s">
        <v>501</v>
      </c>
      <c r="T13" s="35" t="s">
        <v>501</v>
      </c>
      <c r="U13" s="35" t="s">
        <v>501</v>
      </c>
      <c r="V13" s="35" t="s">
        <v>1184</v>
      </c>
      <c r="W13" s="35" t="s">
        <v>1072</v>
      </c>
      <c r="X13" s="35" t="s">
        <v>499</v>
      </c>
      <c r="Y13" s="37" t="s">
        <v>4210</v>
      </c>
      <c r="Z13" s="39">
        <v>46183</v>
      </c>
      <c r="AA13" s="57">
        <v>46203</v>
      </c>
      <c r="AB13" s="39"/>
      <c r="AC13" s="39">
        <v>46217</v>
      </c>
      <c r="AD13" s="40" t="s">
        <v>4236</v>
      </c>
      <c r="AE13" s="2" t="s">
        <v>4213</v>
      </c>
      <c r="AF13" s="2" t="s">
        <v>2533</v>
      </c>
    </row>
    <row r="14" s="2" customFormat="1" ht="27.75" hidden="1" customHeight="1" spans="1:32">
      <c r="A14" s="34">
        <f t="shared" si="0"/>
        <v>11</v>
      </c>
      <c r="B14" s="35" t="s">
        <v>4237</v>
      </c>
      <c r="C14" s="35" t="s">
        <v>114</v>
      </c>
      <c r="D14" s="37" t="s">
        <v>4238</v>
      </c>
      <c r="E14" s="35" t="s">
        <v>4239</v>
      </c>
      <c r="F14" s="36">
        <v>46101</v>
      </c>
      <c r="G14" s="36">
        <v>46197</v>
      </c>
      <c r="H14" s="36">
        <v>46197</v>
      </c>
      <c r="I14" s="36">
        <v>46135</v>
      </c>
      <c r="J14" s="35">
        <f>SUBTOTAL(9,L14:P14)</f>
        <v>0</v>
      </c>
      <c r="K14" s="35">
        <v>10</v>
      </c>
      <c r="L14" s="37">
        <v>780</v>
      </c>
      <c r="M14" s="37">
        <v>780</v>
      </c>
      <c r="N14" s="37">
        <v>780</v>
      </c>
      <c r="O14" s="37">
        <v>780</v>
      </c>
      <c r="P14" s="37">
        <v>780</v>
      </c>
      <c r="Q14" s="35" t="s">
        <v>1749</v>
      </c>
      <c r="R14" s="45" t="s">
        <v>104</v>
      </c>
      <c r="S14" s="38" t="s">
        <v>526</v>
      </c>
      <c r="T14" s="38" t="s">
        <v>526</v>
      </c>
      <c r="U14" s="38" t="s">
        <v>526</v>
      </c>
      <c r="V14" s="38" t="s">
        <v>1875</v>
      </c>
      <c r="W14" s="35" t="s">
        <v>526</v>
      </c>
      <c r="X14" s="35" t="s">
        <v>1749</v>
      </c>
      <c r="Y14" s="37" t="s">
        <v>4240</v>
      </c>
      <c r="Z14" s="39">
        <v>46197</v>
      </c>
      <c r="AA14" s="57">
        <v>46199</v>
      </c>
      <c r="AB14" s="39"/>
      <c r="AC14" s="39">
        <v>46218</v>
      </c>
      <c r="AD14" s="40">
        <v>4504222790</v>
      </c>
      <c r="AE14" s="41" t="s">
        <v>4203</v>
      </c>
      <c r="AF14" s="2" t="s">
        <v>2533</v>
      </c>
    </row>
    <row r="15" s="2" customFormat="1" ht="30" hidden="1" customHeight="1" spans="1:32">
      <c r="A15" s="34">
        <f t="shared" si="0"/>
        <v>12</v>
      </c>
      <c r="B15" s="35" t="s">
        <v>2890</v>
      </c>
      <c r="C15" s="35" t="s">
        <v>1674</v>
      </c>
      <c r="D15" s="35" t="s">
        <v>4241</v>
      </c>
      <c r="E15" s="35" t="s">
        <v>4242</v>
      </c>
      <c r="F15" s="36">
        <v>46079</v>
      </c>
      <c r="G15" s="36">
        <v>46207</v>
      </c>
      <c r="H15" s="36">
        <v>46207</v>
      </c>
      <c r="I15" s="36">
        <v>46106</v>
      </c>
      <c r="J15" s="35">
        <f>SUM(L15:P15)</f>
        <v>15350</v>
      </c>
      <c r="K15" s="35">
        <v>10</v>
      </c>
      <c r="L15" s="37">
        <v>3070</v>
      </c>
      <c r="M15" s="37">
        <v>3070</v>
      </c>
      <c r="N15" s="37">
        <v>3070</v>
      </c>
      <c r="O15" s="37">
        <v>3070</v>
      </c>
      <c r="P15" s="37">
        <v>3070</v>
      </c>
      <c r="Q15" s="35" t="s">
        <v>1749</v>
      </c>
      <c r="R15" s="45" t="s">
        <v>104</v>
      </c>
      <c r="S15" s="38" t="s">
        <v>526</v>
      </c>
      <c r="T15" s="38" t="s">
        <v>526</v>
      </c>
      <c r="U15" s="38" t="s">
        <v>526</v>
      </c>
      <c r="V15" s="38" t="s">
        <v>1875</v>
      </c>
      <c r="W15" s="35" t="s">
        <v>390</v>
      </c>
      <c r="X15" s="35" t="s">
        <v>1749</v>
      </c>
      <c r="Y15" s="37" t="s">
        <v>4243</v>
      </c>
      <c r="Z15" s="39">
        <v>46207</v>
      </c>
      <c r="AA15" s="44">
        <v>46217</v>
      </c>
      <c r="AB15" s="39">
        <v>46219</v>
      </c>
      <c r="AC15" s="39">
        <v>46233</v>
      </c>
      <c r="AD15" s="40">
        <v>2592521</v>
      </c>
      <c r="AE15" s="2" t="s">
        <v>4203</v>
      </c>
      <c r="AF15" s="2" t="s">
        <v>1607</v>
      </c>
    </row>
    <row r="16" s="2" customFormat="1" ht="27.75" hidden="1" customHeight="1" spans="1:32">
      <c r="A16" s="34">
        <f t="shared" si="0"/>
        <v>13</v>
      </c>
      <c r="B16" s="37" t="s">
        <v>4207</v>
      </c>
      <c r="C16" s="37" t="s">
        <v>421</v>
      </c>
      <c r="D16" s="37" t="s">
        <v>4244</v>
      </c>
      <c r="E16" s="35" t="s">
        <v>4245</v>
      </c>
      <c r="F16" s="36">
        <v>46113</v>
      </c>
      <c r="G16" s="36">
        <v>46205</v>
      </c>
      <c r="H16" s="36">
        <v>46205</v>
      </c>
      <c r="I16" s="36">
        <v>46182</v>
      </c>
      <c r="J16" s="35">
        <f t="shared" ref="J16:J23" si="2">SUM(L16:P16)</f>
        <v>20000</v>
      </c>
      <c r="K16" s="35">
        <v>10</v>
      </c>
      <c r="L16" s="35">
        <v>4000</v>
      </c>
      <c r="M16" s="35">
        <v>4000</v>
      </c>
      <c r="N16" s="35">
        <v>4000</v>
      </c>
      <c r="O16" s="35">
        <v>4000</v>
      </c>
      <c r="P16" s="35">
        <v>4000</v>
      </c>
      <c r="Q16" s="35" t="s">
        <v>554</v>
      </c>
      <c r="R16" s="45" t="s">
        <v>196</v>
      </c>
      <c r="S16" s="38" t="s">
        <v>1750</v>
      </c>
      <c r="T16" s="38" t="s">
        <v>1750</v>
      </c>
      <c r="U16" s="38" t="s">
        <v>1750</v>
      </c>
      <c r="V16" s="38" t="s">
        <v>4128</v>
      </c>
      <c r="W16" s="35" t="s">
        <v>933</v>
      </c>
      <c r="X16" s="35" t="s">
        <v>554</v>
      </c>
      <c r="Y16" s="37" t="s">
        <v>4221</v>
      </c>
      <c r="Z16" s="39">
        <v>46205</v>
      </c>
      <c r="AA16" s="44">
        <v>46224</v>
      </c>
      <c r="AB16" s="39"/>
      <c r="AC16" s="39">
        <v>46228</v>
      </c>
      <c r="AD16" s="40" t="s">
        <v>4246</v>
      </c>
      <c r="AE16" s="2" t="s">
        <v>4213</v>
      </c>
      <c r="AF16" s="2" t="s">
        <v>1782</v>
      </c>
    </row>
    <row r="17" s="2" customFormat="1" ht="27.75" hidden="1" customHeight="1" spans="1:32">
      <c r="A17" s="34">
        <f t="shared" ref="A17:A28" si="3">ROW()-3</f>
        <v>14</v>
      </c>
      <c r="B17" s="37" t="s">
        <v>3833</v>
      </c>
      <c r="C17" s="35" t="s">
        <v>114</v>
      </c>
      <c r="D17" s="37" t="s">
        <v>4247</v>
      </c>
      <c r="E17" s="37" t="s">
        <v>4248</v>
      </c>
      <c r="F17" s="56">
        <v>46134</v>
      </c>
      <c r="G17" s="56">
        <v>46217</v>
      </c>
      <c r="H17" s="56">
        <v>46217</v>
      </c>
      <c r="I17" s="56">
        <v>46169</v>
      </c>
      <c r="J17" s="37">
        <f t="shared" si="2"/>
        <v>1500</v>
      </c>
      <c r="K17" s="35">
        <v>10</v>
      </c>
      <c r="L17" s="35">
        <v>300</v>
      </c>
      <c r="M17" s="35">
        <v>300</v>
      </c>
      <c r="N17" s="35">
        <v>300</v>
      </c>
      <c r="O17" s="35">
        <v>300</v>
      </c>
      <c r="P17" s="35">
        <v>300</v>
      </c>
      <c r="Q17" s="35" t="s">
        <v>554</v>
      </c>
      <c r="R17" s="45" t="s">
        <v>104</v>
      </c>
      <c r="S17" s="38" t="s">
        <v>1750</v>
      </c>
      <c r="T17" s="38" t="s">
        <v>1750</v>
      </c>
      <c r="U17" s="38" t="s">
        <v>1750</v>
      </c>
      <c r="V17" s="38" t="s">
        <v>4128</v>
      </c>
      <c r="W17" s="35" t="s">
        <v>4249</v>
      </c>
      <c r="X17" s="35" t="s">
        <v>554</v>
      </c>
      <c r="Y17" s="37" t="s">
        <v>4250</v>
      </c>
      <c r="Z17" s="39">
        <v>46217</v>
      </c>
      <c r="AA17" s="44">
        <v>46230</v>
      </c>
      <c r="AB17" s="39"/>
      <c r="AC17" s="39">
        <v>46233</v>
      </c>
      <c r="AD17" s="40" t="s">
        <v>4251</v>
      </c>
      <c r="AE17" s="2" t="s">
        <v>4203</v>
      </c>
      <c r="AF17" s="2" t="s">
        <v>1802</v>
      </c>
    </row>
    <row r="18" s="2" customFormat="1" ht="27.75" hidden="1" customHeight="1" spans="1:32">
      <c r="A18" s="34">
        <f t="shared" si="3"/>
        <v>15</v>
      </c>
      <c r="B18" s="37" t="s">
        <v>4207</v>
      </c>
      <c r="C18" s="37" t="s">
        <v>421</v>
      </c>
      <c r="D18" s="37" t="s">
        <v>4252</v>
      </c>
      <c r="E18" s="35" t="s">
        <v>4253</v>
      </c>
      <c r="F18" s="36">
        <v>46122</v>
      </c>
      <c r="G18" s="36">
        <v>46217</v>
      </c>
      <c r="H18" s="36">
        <v>46217</v>
      </c>
      <c r="I18" s="36">
        <v>46182</v>
      </c>
      <c r="J18" s="35">
        <f t="shared" si="2"/>
        <v>6070</v>
      </c>
      <c r="K18" s="35">
        <v>10</v>
      </c>
      <c r="L18" s="37">
        <v>1214</v>
      </c>
      <c r="M18" s="37">
        <v>1214</v>
      </c>
      <c r="N18" s="37">
        <v>1214</v>
      </c>
      <c r="O18" s="37">
        <v>1214</v>
      </c>
      <c r="P18" s="37">
        <v>1214</v>
      </c>
      <c r="Q18" s="35" t="s">
        <v>554</v>
      </c>
      <c r="R18" s="45" t="s">
        <v>196</v>
      </c>
      <c r="S18" s="38" t="s">
        <v>1750</v>
      </c>
      <c r="T18" s="38" t="s">
        <v>1750</v>
      </c>
      <c r="U18" s="38" t="s">
        <v>1750</v>
      </c>
      <c r="V18" s="38" t="s">
        <v>4128</v>
      </c>
      <c r="W18" s="35" t="s">
        <v>933</v>
      </c>
      <c r="X18" s="35" t="s">
        <v>554</v>
      </c>
      <c r="Y18" s="37" t="s">
        <v>4221</v>
      </c>
      <c r="Z18" s="39">
        <v>46217</v>
      </c>
      <c r="AA18" s="44">
        <v>46230</v>
      </c>
      <c r="AB18" s="39"/>
      <c r="AC18" s="39">
        <v>46231</v>
      </c>
      <c r="AD18" s="40" t="s">
        <v>4254</v>
      </c>
      <c r="AE18" s="2" t="s">
        <v>4213</v>
      </c>
      <c r="AF18" s="2" t="s">
        <v>1782</v>
      </c>
    </row>
    <row r="19" s="2" customFormat="1" ht="36" hidden="1" customHeight="1" spans="1:32">
      <c r="A19" s="34">
        <f t="shared" si="3"/>
        <v>16</v>
      </c>
      <c r="B19" s="37" t="s">
        <v>4255</v>
      </c>
      <c r="C19" s="37" t="s">
        <v>486</v>
      </c>
      <c r="D19" s="37" t="s">
        <v>4256</v>
      </c>
      <c r="E19" s="35" t="s">
        <v>4257</v>
      </c>
      <c r="F19" s="36">
        <v>46140</v>
      </c>
      <c r="G19" s="36">
        <v>46219</v>
      </c>
      <c r="H19" s="36">
        <v>46219</v>
      </c>
      <c r="I19" s="36">
        <v>46153</v>
      </c>
      <c r="J19" s="35">
        <f t="shared" si="2"/>
        <v>3000</v>
      </c>
      <c r="K19" s="35">
        <v>10</v>
      </c>
      <c r="L19" s="37">
        <v>600</v>
      </c>
      <c r="M19" s="37">
        <v>600</v>
      </c>
      <c r="N19" s="37">
        <v>600</v>
      </c>
      <c r="O19" s="37">
        <v>600</v>
      </c>
      <c r="P19" s="37">
        <v>600</v>
      </c>
      <c r="Q19" s="35" t="s">
        <v>554</v>
      </c>
      <c r="R19" s="45" t="s">
        <v>104</v>
      </c>
      <c r="S19" s="38" t="s">
        <v>1750</v>
      </c>
      <c r="T19" s="38" t="s">
        <v>1750</v>
      </c>
      <c r="U19" s="38" t="s">
        <v>1750</v>
      </c>
      <c r="V19" s="38" t="s">
        <v>4128</v>
      </c>
      <c r="W19" s="35" t="s">
        <v>933</v>
      </c>
      <c r="X19" s="35" t="s">
        <v>554</v>
      </c>
      <c r="Y19" s="37" t="s">
        <v>4250</v>
      </c>
      <c r="Z19" s="39">
        <v>46219</v>
      </c>
      <c r="AA19" s="39">
        <v>46224</v>
      </c>
      <c r="AB19" s="39"/>
      <c r="AC19" s="39">
        <v>46233</v>
      </c>
      <c r="AD19" s="40" t="s">
        <v>4258</v>
      </c>
      <c r="AE19" s="2" t="s">
        <v>4203</v>
      </c>
      <c r="AF19" s="2" t="s">
        <v>1782</v>
      </c>
    </row>
    <row r="20" s="2" customFormat="1" ht="36" hidden="1" customHeight="1" spans="1:32">
      <c r="A20" s="34">
        <f t="shared" si="3"/>
        <v>17</v>
      </c>
      <c r="B20" s="37" t="s">
        <v>4207</v>
      </c>
      <c r="C20" s="37" t="s">
        <v>421</v>
      </c>
      <c r="D20" s="37" t="s">
        <v>4259</v>
      </c>
      <c r="E20" s="35" t="s">
        <v>4260</v>
      </c>
      <c r="F20" s="36">
        <v>46122</v>
      </c>
      <c r="G20" s="36">
        <v>46223</v>
      </c>
      <c r="H20" s="36">
        <v>46223</v>
      </c>
      <c r="I20" s="36" t="s">
        <v>4261</v>
      </c>
      <c r="J20" s="35">
        <f t="shared" si="2"/>
        <v>8530</v>
      </c>
      <c r="K20" s="35">
        <v>10</v>
      </c>
      <c r="L20" s="37">
        <v>1706</v>
      </c>
      <c r="M20" s="37">
        <v>1706</v>
      </c>
      <c r="N20" s="37">
        <v>1706</v>
      </c>
      <c r="O20" s="37">
        <v>1706</v>
      </c>
      <c r="P20" s="37">
        <v>1706</v>
      </c>
      <c r="Q20" s="35" t="s">
        <v>554</v>
      </c>
      <c r="R20" s="45" t="s">
        <v>196</v>
      </c>
      <c r="S20" s="38" t="s">
        <v>1750</v>
      </c>
      <c r="T20" s="38" t="s">
        <v>1750</v>
      </c>
      <c r="U20" s="38" t="s">
        <v>1750</v>
      </c>
      <c r="V20" s="38" t="s">
        <v>4128</v>
      </c>
      <c r="W20" s="35" t="s">
        <v>933</v>
      </c>
      <c r="X20" s="35" t="s">
        <v>554</v>
      </c>
      <c r="Y20" s="37" t="s">
        <v>4221</v>
      </c>
      <c r="Z20" s="39">
        <v>46223</v>
      </c>
      <c r="AA20" s="57">
        <v>46241</v>
      </c>
      <c r="AB20" s="39"/>
      <c r="AC20" s="39">
        <v>46251</v>
      </c>
      <c r="AD20" s="40" t="s">
        <v>4262</v>
      </c>
      <c r="AE20" s="2" t="s">
        <v>4213</v>
      </c>
      <c r="AF20" s="2" t="s">
        <v>1782</v>
      </c>
    </row>
    <row r="21" s="2" customFormat="1" ht="36" hidden="1" customHeight="1" spans="1:32">
      <c r="A21" s="34">
        <f t="shared" si="3"/>
        <v>18</v>
      </c>
      <c r="B21" s="37" t="s">
        <v>725</v>
      </c>
      <c r="C21" s="37" t="s">
        <v>726</v>
      </c>
      <c r="D21" s="37" t="s">
        <v>4263</v>
      </c>
      <c r="E21" s="35" t="s">
        <v>4264</v>
      </c>
      <c r="F21" s="36">
        <v>46129</v>
      </c>
      <c r="G21" s="36">
        <v>46226</v>
      </c>
      <c r="H21" s="36">
        <v>46226</v>
      </c>
      <c r="I21" s="36">
        <v>46176</v>
      </c>
      <c r="J21" s="35">
        <f t="shared" si="2"/>
        <v>15020</v>
      </c>
      <c r="K21" s="35">
        <v>10</v>
      </c>
      <c r="L21" s="37">
        <v>3004</v>
      </c>
      <c r="M21" s="37">
        <v>3004</v>
      </c>
      <c r="N21" s="37">
        <v>3004</v>
      </c>
      <c r="O21" s="37">
        <v>3004</v>
      </c>
      <c r="P21" s="37">
        <v>3004</v>
      </c>
      <c r="Q21" s="35" t="s">
        <v>554</v>
      </c>
      <c r="R21" s="45" t="s">
        <v>104</v>
      </c>
      <c r="S21" s="38" t="s">
        <v>1750</v>
      </c>
      <c r="T21" s="38" t="s">
        <v>1750</v>
      </c>
      <c r="U21" s="38" t="s">
        <v>1750</v>
      </c>
      <c r="V21" s="38" t="s">
        <v>4128</v>
      </c>
      <c r="W21" s="35" t="s">
        <v>587</v>
      </c>
      <c r="X21" s="35" t="s">
        <v>554</v>
      </c>
      <c r="Y21" s="37" t="s">
        <v>4265</v>
      </c>
      <c r="Z21" s="39">
        <v>46226</v>
      </c>
      <c r="AA21" s="39">
        <v>46245</v>
      </c>
      <c r="AB21" s="39"/>
      <c r="AC21" s="39">
        <v>46260</v>
      </c>
      <c r="AD21" s="40">
        <v>4400565297</v>
      </c>
      <c r="AE21" s="2" t="s">
        <v>4203</v>
      </c>
      <c r="AF21" s="2" t="s">
        <v>1782</v>
      </c>
    </row>
    <row r="22" s="2" customFormat="1" ht="30" hidden="1" customHeight="1" spans="1:32">
      <c r="A22" s="34">
        <f t="shared" si="0"/>
        <v>19</v>
      </c>
      <c r="B22" s="35" t="s">
        <v>2890</v>
      </c>
      <c r="C22" s="35" t="s">
        <v>1674</v>
      </c>
      <c r="D22" s="35" t="s">
        <v>4266</v>
      </c>
      <c r="E22" s="35" t="s">
        <v>4267</v>
      </c>
      <c r="F22" s="36">
        <v>46079</v>
      </c>
      <c r="G22" s="36">
        <v>46228</v>
      </c>
      <c r="H22" s="36">
        <v>46228</v>
      </c>
      <c r="I22" s="36">
        <v>46106</v>
      </c>
      <c r="J22" s="35">
        <f t="shared" si="2"/>
        <v>18500</v>
      </c>
      <c r="K22" s="35">
        <v>10</v>
      </c>
      <c r="L22" s="37">
        <v>3700</v>
      </c>
      <c r="M22" s="37">
        <v>3700</v>
      </c>
      <c r="N22" s="37">
        <v>3700</v>
      </c>
      <c r="O22" s="37">
        <v>3700</v>
      </c>
      <c r="P22" s="37">
        <v>3700</v>
      </c>
      <c r="Q22" s="35" t="s">
        <v>554</v>
      </c>
      <c r="R22" s="45" t="s">
        <v>104</v>
      </c>
      <c r="S22" s="38" t="s">
        <v>1750</v>
      </c>
      <c r="T22" s="38" t="s">
        <v>1750</v>
      </c>
      <c r="U22" s="38" t="s">
        <v>1750</v>
      </c>
      <c r="V22" s="38" t="s">
        <v>4128</v>
      </c>
      <c r="W22" s="35" t="s">
        <v>933</v>
      </c>
      <c r="X22" s="35" t="s">
        <v>554</v>
      </c>
      <c r="Y22" s="35" t="s">
        <v>4243</v>
      </c>
      <c r="Z22" s="39">
        <v>46228</v>
      </c>
      <c r="AA22" s="39">
        <v>46238</v>
      </c>
      <c r="AB22" s="58">
        <v>46239</v>
      </c>
      <c r="AC22" s="39">
        <v>46259</v>
      </c>
      <c r="AD22" s="40">
        <v>2592525</v>
      </c>
      <c r="AE22" s="2" t="s">
        <v>4203</v>
      </c>
      <c r="AF22" s="2" t="s">
        <v>1607</v>
      </c>
    </row>
    <row r="23" s="2" customFormat="1" ht="36" hidden="1" customHeight="1" spans="1:32">
      <c r="A23" s="34">
        <f t="shared" si="3"/>
        <v>20</v>
      </c>
      <c r="B23" s="37" t="s">
        <v>4268</v>
      </c>
      <c r="C23" s="37" t="s">
        <v>726</v>
      </c>
      <c r="D23" s="37" t="s">
        <v>4269</v>
      </c>
      <c r="E23" s="35" t="s">
        <v>4270</v>
      </c>
      <c r="F23" s="36">
        <v>46129</v>
      </c>
      <c r="G23" s="36">
        <v>46236</v>
      </c>
      <c r="H23" s="36">
        <v>46236</v>
      </c>
      <c r="I23" s="36">
        <v>46176</v>
      </c>
      <c r="J23" s="35">
        <f t="shared" si="2"/>
        <v>11230</v>
      </c>
      <c r="K23" s="35">
        <v>10</v>
      </c>
      <c r="L23" s="37">
        <v>2246</v>
      </c>
      <c r="M23" s="37">
        <v>2246</v>
      </c>
      <c r="N23" s="37">
        <v>2246</v>
      </c>
      <c r="O23" s="37">
        <v>2246</v>
      </c>
      <c r="P23" s="37">
        <v>2246</v>
      </c>
      <c r="Q23" s="35" t="s">
        <v>554</v>
      </c>
      <c r="R23" s="45" t="s">
        <v>104</v>
      </c>
      <c r="S23" s="38" t="s">
        <v>4138</v>
      </c>
      <c r="T23" s="38" t="s">
        <v>4138</v>
      </c>
      <c r="U23" s="38" t="s">
        <v>4138</v>
      </c>
      <c r="V23" s="38" t="s">
        <v>1207</v>
      </c>
      <c r="W23" s="35" t="s">
        <v>1227</v>
      </c>
      <c r="X23" s="35" t="s">
        <v>554</v>
      </c>
      <c r="Y23" s="37" t="s">
        <v>4265</v>
      </c>
      <c r="Z23" s="39">
        <v>46236</v>
      </c>
      <c r="AA23" s="39">
        <v>46248</v>
      </c>
      <c r="AB23" s="39"/>
      <c r="AC23" s="39">
        <v>46249</v>
      </c>
      <c r="AD23" s="40">
        <v>4400565308</v>
      </c>
      <c r="AE23" s="2" t="s">
        <v>4203</v>
      </c>
      <c r="AF23" s="2" t="s">
        <v>1802</v>
      </c>
    </row>
    <row r="24" s="2" customFormat="1" ht="27.75" hidden="1" customHeight="1" spans="1:32">
      <c r="A24" s="34">
        <f t="shared" si="3"/>
        <v>21</v>
      </c>
      <c r="B24" s="35" t="s">
        <v>4271</v>
      </c>
      <c r="C24" s="35" t="s">
        <v>114</v>
      </c>
      <c r="D24" s="35" t="s">
        <v>4272</v>
      </c>
      <c r="E24" s="35" t="s">
        <v>4273</v>
      </c>
      <c r="F24" s="36">
        <v>46132</v>
      </c>
      <c r="G24" s="36">
        <v>46246</v>
      </c>
      <c r="H24" s="36">
        <v>46246</v>
      </c>
      <c r="I24" s="36">
        <v>46185</v>
      </c>
      <c r="J24" s="35">
        <f>SUBTOTAL(9,L24:P24)</f>
        <v>0</v>
      </c>
      <c r="K24" s="35">
        <v>10</v>
      </c>
      <c r="L24" s="37">
        <v>450</v>
      </c>
      <c r="M24" s="37">
        <v>450</v>
      </c>
      <c r="N24" s="37">
        <v>450</v>
      </c>
      <c r="O24" s="37">
        <v>450</v>
      </c>
      <c r="P24" s="37">
        <v>450</v>
      </c>
      <c r="Q24" s="35" t="s">
        <v>1600</v>
      </c>
      <c r="R24" s="45" t="s">
        <v>104</v>
      </c>
      <c r="S24" s="38" t="s">
        <v>4138</v>
      </c>
      <c r="T24" s="38" t="s">
        <v>4138</v>
      </c>
      <c r="U24" s="38" t="s">
        <v>4138</v>
      </c>
      <c r="V24" s="38" t="s">
        <v>1207</v>
      </c>
      <c r="W24" s="35" t="s">
        <v>1227</v>
      </c>
      <c r="X24" s="35" t="s">
        <v>1600</v>
      </c>
      <c r="Y24" s="35" t="s">
        <v>4250</v>
      </c>
      <c r="Z24" s="39">
        <v>46246</v>
      </c>
      <c r="AA24" s="39">
        <v>46248</v>
      </c>
      <c r="AB24" s="39"/>
      <c r="AC24" s="39">
        <v>46272</v>
      </c>
      <c r="AD24" s="40" t="s">
        <v>4274</v>
      </c>
      <c r="AE24" s="41" t="s">
        <v>4203</v>
      </c>
      <c r="AF24" s="2" t="s">
        <v>1802</v>
      </c>
    </row>
    <row r="25" s="2" customFormat="1" ht="30" customHeight="1" spans="1:32">
      <c r="A25" s="34">
        <f t="shared" si="3"/>
        <v>22</v>
      </c>
      <c r="B25" s="35" t="s">
        <v>2890</v>
      </c>
      <c r="C25" s="35" t="s">
        <v>1674</v>
      </c>
      <c r="D25" s="35" t="s">
        <v>4275</v>
      </c>
      <c r="E25" s="35" t="s">
        <v>4276</v>
      </c>
      <c r="F25" s="36">
        <v>46079</v>
      </c>
      <c r="G25" s="36">
        <v>46262</v>
      </c>
      <c r="H25" s="36">
        <v>46262</v>
      </c>
      <c r="I25" s="36">
        <v>46106</v>
      </c>
      <c r="J25" s="35">
        <f>SUM(L25:P25)</f>
        <v>23240</v>
      </c>
      <c r="K25" s="35">
        <v>10</v>
      </c>
      <c r="L25" s="37">
        <v>4648</v>
      </c>
      <c r="M25" s="37">
        <v>4648</v>
      </c>
      <c r="N25" s="37">
        <v>4648</v>
      </c>
      <c r="O25" s="37">
        <v>4648</v>
      </c>
      <c r="P25" s="37">
        <v>4648</v>
      </c>
      <c r="Q25" s="35" t="s">
        <v>1600</v>
      </c>
      <c r="R25" s="45" t="s">
        <v>104</v>
      </c>
      <c r="S25" s="38" t="s">
        <v>4138</v>
      </c>
      <c r="T25" s="38" t="s">
        <v>4138</v>
      </c>
      <c r="U25" s="38" t="s">
        <v>4138</v>
      </c>
      <c r="V25" s="38" t="s">
        <v>1207</v>
      </c>
      <c r="W25" s="35" t="s">
        <v>1208</v>
      </c>
      <c r="X25" s="35" t="s">
        <v>1600</v>
      </c>
      <c r="Y25" s="35" t="s">
        <v>4243</v>
      </c>
      <c r="Z25" s="39">
        <v>46262</v>
      </c>
      <c r="AA25" s="39">
        <v>46274</v>
      </c>
      <c r="AB25" s="39" t="s">
        <v>4277</v>
      </c>
      <c r="AC25" s="39"/>
      <c r="AD25" s="40">
        <v>2592439</v>
      </c>
      <c r="AE25" s="2" t="s">
        <v>4203</v>
      </c>
      <c r="AF25" s="2" t="s">
        <v>1607</v>
      </c>
    </row>
    <row r="26" s="2" customFormat="1" ht="27.75" customHeight="1" spans="1:32">
      <c r="A26" s="59">
        <f t="shared" si="3"/>
        <v>23</v>
      </c>
      <c r="B26" s="60" t="s">
        <v>725</v>
      </c>
      <c r="C26" s="66" t="s">
        <v>726</v>
      </c>
      <c r="D26" s="60" t="s">
        <v>4278</v>
      </c>
      <c r="E26" s="60" t="s">
        <v>4279</v>
      </c>
      <c r="F26" s="61">
        <v>46174</v>
      </c>
      <c r="G26" s="61">
        <v>46288</v>
      </c>
      <c r="H26" s="61">
        <v>46288</v>
      </c>
      <c r="I26" s="61">
        <v>46195</v>
      </c>
      <c r="J26" s="60">
        <f>SUBTOTAL(9,L26:P26)</f>
        <v>3750</v>
      </c>
      <c r="K26" s="60">
        <v>10</v>
      </c>
      <c r="L26" s="60">
        <v>750</v>
      </c>
      <c r="M26" s="60">
        <v>750</v>
      </c>
      <c r="N26" s="60">
        <v>750</v>
      </c>
      <c r="O26" s="60">
        <v>750</v>
      </c>
      <c r="P26" s="60">
        <v>750</v>
      </c>
      <c r="Q26" s="63" t="s">
        <v>1444</v>
      </c>
      <c r="R26" s="64" t="s">
        <v>104</v>
      </c>
      <c r="S26" s="65" t="s">
        <v>4176</v>
      </c>
      <c r="T26" s="65" t="s">
        <v>4176</v>
      </c>
      <c r="U26" s="65" t="s">
        <v>4176</v>
      </c>
      <c r="V26" s="60" t="s">
        <v>1660</v>
      </c>
      <c r="W26" s="60" t="s">
        <v>4180</v>
      </c>
      <c r="X26" s="60" t="s">
        <v>4280</v>
      </c>
      <c r="Y26" s="66" t="s">
        <v>4250</v>
      </c>
      <c r="Z26" s="67">
        <v>46288</v>
      </c>
      <c r="AA26" s="68" t="s">
        <v>4281</v>
      </c>
      <c r="AB26" s="68"/>
      <c r="AC26" s="68"/>
      <c r="AD26" s="70">
        <v>4400574744</v>
      </c>
      <c r="AE26" s="2" t="s">
        <v>4203</v>
      </c>
      <c r="AF26" s="2" t="s">
        <v>1802</v>
      </c>
    </row>
    <row r="27" s="2" customFormat="1" ht="27.75" customHeight="1" spans="1:32">
      <c r="A27" s="59">
        <f t="shared" si="3"/>
        <v>24</v>
      </c>
      <c r="B27" s="84"/>
      <c r="C27" s="84"/>
      <c r="D27" s="84"/>
      <c r="E27" s="84"/>
      <c r="F27" s="85"/>
      <c r="G27" s="85"/>
      <c r="H27" s="85"/>
      <c r="I27" s="85"/>
      <c r="J27" s="84"/>
      <c r="K27" s="84"/>
      <c r="L27" s="60"/>
      <c r="M27" s="60"/>
      <c r="N27" s="60"/>
      <c r="O27" s="60"/>
      <c r="P27" s="60"/>
      <c r="Q27" s="63"/>
      <c r="R27" s="64"/>
      <c r="S27" s="60"/>
      <c r="T27" s="60"/>
      <c r="U27" s="60"/>
      <c r="V27" s="60"/>
      <c r="W27" s="60"/>
      <c r="X27" s="60"/>
      <c r="Y27" s="60"/>
      <c r="Z27" s="67"/>
      <c r="AA27" s="68"/>
      <c r="AB27" s="68"/>
      <c r="AC27" s="68"/>
      <c r="AD27" s="70"/>
      <c r="AE27" s="2" t="s">
        <v>4203</v>
      </c>
    </row>
    <row r="28" s="2" customFormat="1" ht="27.75" customHeight="1" spans="1:32">
      <c r="A28" s="59">
        <f t="shared" si="3"/>
        <v>25</v>
      </c>
      <c r="B28" s="60"/>
      <c r="C28" s="60"/>
      <c r="D28" s="60"/>
      <c r="E28" s="60"/>
      <c r="F28" s="61"/>
      <c r="G28" s="61"/>
      <c r="H28" s="61"/>
      <c r="I28" s="61"/>
      <c r="J28" s="60"/>
      <c r="K28" s="60"/>
      <c r="L28" s="66"/>
      <c r="M28" s="66"/>
      <c r="N28" s="66"/>
      <c r="O28" s="66"/>
      <c r="P28" s="66"/>
      <c r="Q28" s="60"/>
      <c r="R28" s="60"/>
      <c r="S28" s="60"/>
      <c r="T28" s="60"/>
      <c r="U28" s="60"/>
      <c r="V28" s="60"/>
      <c r="W28" s="60"/>
      <c r="X28" s="60"/>
      <c r="Y28" s="60"/>
      <c r="Z28" s="68"/>
      <c r="AA28" s="68"/>
      <c r="AB28" s="68"/>
      <c r="AC28" s="68"/>
      <c r="AD28" s="70"/>
    </row>
    <row r="29" s="3" customFormat="1" ht="17.1" customHeight="1" spans="1:32">
      <c r="A29" s="93" t="s">
        <v>66</v>
      </c>
      <c r="B29" s="94"/>
      <c r="C29" s="94"/>
      <c r="D29" s="94"/>
      <c r="E29" s="94"/>
      <c r="F29" s="94"/>
      <c r="G29" s="94"/>
      <c r="H29" s="94"/>
      <c r="I29" s="94"/>
      <c r="J29" s="95">
        <f>SUM(J4:J28)</f>
        <v>257230</v>
      </c>
      <c r="K29" s="95"/>
      <c r="L29" s="95">
        <f>SUM(L4:L28)</f>
        <v>52676</v>
      </c>
      <c r="M29" s="95">
        <f>SUM(M4:M28)</f>
        <v>52676</v>
      </c>
      <c r="N29" s="95">
        <f>SUM(N4:N28)</f>
        <v>52676</v>
      </c>
      <c r="O29" s="95">
        <f>SUM(O4:O28)</f>
        <v>52676</v>
      </c>
      <c r="P29" s="95">
        <f>SUM(P4:P28)</f>
        <v>52676</v>
      </c>
      <c r="Q29" s="96"/>
      <c r="R29" s="96"/>
      <c r="S29" s="96"/>
      <c r="T29" s="96"/>
      <c r="U29" s="96"/>
      <c r="V29" s="96"/>
      <c r="W29" s="96"/>
      <c r="X29" s="96"/>
      <c r="Y29" s="97"/>
      <c r="Z29" s="97"/>
      <c r="AA29" s="97"/>
      <c r="AB29" s="97"/>
      <c r="AC29" s="97"/>
      <c r="AD29" s="98"/>
    </row>
    <row r="30" s="4" customFormat="1" ht="17.1" customHeight="1" spans="1:32">
      <c r="A30" s="99"/>
      <c r="B30" s="100"/>
      <c r="C30" s="100"/>
      <c r="D30" s="100"/>
      <c r="E30" s="100"/>
      <c r="F30" s="100"/>
      <c r="G30" s="100"/>
      <c r="H30" s="100"/>
      <c r="I30" s="100"/>
      <c r="J30" s="133">
        <f>SUM(L30:P30)</f>
        <v>263380</v>
      </c>
      <c r="K30" s="100"/>
      <c r="L30" s="100">
        <f t="shared" ref="L30:P30" si="4">23860+8786+300+5460+10564+3706</f>
        <v>52676</v>
      </c>
      <c r="M30" s="100">
        <f t="shared" si="4"/>
        <v>52676</v>
      </c>
      <c r="N30" s="100">
        <f t="shared" si="4"/>
        <v>52676</v>
      </c>
      <c r="O30" s="100">
        <f t="shared" si="4"/>
        <v>52676</v>
      </c>
      <c r="P30" s="100">
        <f t="shared" si="4"/>
        <v>52676</v>
      </c>
      <c r="Q30" s="100"/>
      <c r="R30" s="100"/>
      <c r="S30" s="100"/>
      <c r="T30" s="100"/>
      <c r="U30" s="100"/>
      <c r="V30" s="100"/>
      <c r="W30" s="100"/>
      <c r="X30" s="100"/>
      <c r="Y30" s="100"/>
      <c r="Z30" s="101"/>
      <c r="AA30" s="101"/>
      <c r="AB30" s="101"/>
      <c r="AC30" s="101"/>
      <c r="AD30" s="102"/>
    </row>
    <row r="31" s="4" customFormat="1" ht="17.1" customHeight="1" spans="1:32">
      <c r="A31" s="103" t="s">
        <v>67</v>
      </c>
      <c r="B31" s="104"/>
      <c r="C31" s="104"/>
      <c r="D31" s="104"/>
      <c r="E31" s="104"/>
      <c r="F31" s="104"/>
      <c r="G31" s="104"/>
      <c r="H31" s="104"/>
      <c r="I31" s="104"/>
      <c r="J31" s="105">
        <f>SUM(L31:P31)</f>
        <v>0</v>
      </c>
      <c r="K31" s="104"/>
      <c r="L31" s="106">
        <f>L30-L29</f>
        <v>0</v>
      </c>
      <c r="M31" s="106">
        <f>M30-M29</f>
        <v>0</v>
      </c>
      <c r="N31" s="106">
        <f>N30-N29</f>
        <v>0</v>
      </c>
      <c r="O31" s="106">
        <f>O30-O29</f>
        <v>0</v>
      </c>
      <c r="P31" s="106">
        <f>P30-P29</f>
        <v>0</v>
      </c>
      <c r="Q31" s="107"/>
      <c r="R31" s="107"/>
      <c r="S31" s="107"/>
      <c r="T31" s="107"/>
      <c r="U31" s="107"/>
      <c r="V31" s="107"/>
      <c r="W31" s="107"/>
      <c r="X31" s="107"/>
      <c r="Y31" s="107"/>
      <c r="Z31" s="108"/>
      <c r="AA31" s="108"/>
      <c r="AB31" s="108"/>
      <c r="AC31" s="108"/>
      <c r="AD31" s="109"/>
    </row>
    <row r="32" customFormat="1" spans="1:32">
      <c r="B32" s="110" t="s">
        <v>68</v>
      </c>
      <c r="C32" s="110"/>
      <c r="D32" s="111"/>
      <c r="E32" s="111"/>
      <c r="F32" s="112"/>
      <c r="G32" s="112"/>
      <c r="H32" s="112"/>
      <c r="I32" s="112"/>
      <c r="Z32" s="113"/>
      <c r="AA32" s="113"/>
      <c r="AB32" s="113"/>
      <c r="AC32" s="114"/>
    </row>
    <row r="37" ht="24" customHeight="1" spans="2:2">
      <c r="B37" s="135" t="s">
        <v>4282</v>
      </c>
    </row>
  </sheetData>
  <autoFilter xmlns:etc="http://www.wps.cn/officeDocument/2017/etCustomData" ref="A3:AF37" etc:filterBottomFollowUsedRange="0">
    <filterColumn colId="28">
      <filters blank="1"/>
    </filterColumn>
    <extLst/>
  </autoFilter>
  <mergeCells count="32">
    <mergeCell ref="A1:Z1"/>
    <mergeCell ref="AA1:AB1"/>
    <mergeCell ref="AC1:AD1"/>
    <mergeCell ref="L2:P2"/>
    <mergeCell ref="A29:I29"/>
    <mergeCell ref="A30:I30"/>
    <mergeCell ref="A31:I3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31:P31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56" orientation="landscape"/>
  <headerFooter/>
  <legacy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AF25"/>
  <sheetViews>
    <sheetView workbookViewId="0">
      <pane xSplit="11" ySplit="3" topLeftCell="AA4" activePane="bottomRight" state="frozen"/>
      <selection/>
      <selection pane="topRight"/>
      <selection pane="bottomLeft"/>
      <selection pane="bottomRight" activeCell="AD11" sqref="AD11"/>
    </sheetView>
  </sheetViews>
  <sheetFormatPr defaultColWidth="9" defaultRowHeight="14.25"/>
  <cols>
    <col min="1" max="1" width="3.125" style="6" customWidth="1"/>
    <col min="2" max="2" width="8.625" style="6" customWidth="1"/>
    <col min="3" max="3" width="7.5" style="6" customWidth="1"/>
    <col min="4" max="5" width="12" style="6" customWidth="1"/>
    <col min="6" max="9" width="5.5" style="7" customWidth="1"/>
    <col min="10" max="10" width="8.375" style="6" customWidth="1"/>
    <col min="11" max="11" width="4.875" style="6" customWidth="1"/>
    <col min="12" max="15" width="6.625" style="6" customWidth="1"/>
    <col min="16" max="16" width="6.5" style="6" customWidth="1"/>
    <col min="17" max="17" width="8.375" style="6" customWidth="1"/>
    <col min="18" max="18" width="5.125" style="6" customWidth="1"/>
    <col min="19" max="23" width="6" style="6" customWidth="1"/>
    <col min="24" max="24" width="8.125" style="6" customWidth="1"/>
    <col min="25" max="25" width="21" style="6" customWidth="1"/>
    <col min="26" max="26" width="9" style="8" customWidth="1"/>
    <col min="27" max="27" width="9.375" style="8" customWidth="1"/>
    <col min="28" max="28" width="9.125" style="8" customWidth="1"/>
    <col min="29" max="29" width="8.375" style="8" customWidth="1"/>
    <col min="30" max="30" width="18" style="6" customWidth="1"/>
    <col min="31" max="31" width="17.375" style="6" customWidth="1"/>
    <col min="32" max="32" width="14.125" style="6" customWidth="1"/>
    <col min="33" max="16384" width="9" style="6"/>
  </cols>
  <sheetData>
    <row r="1" ht="35.1" customHeight="1" spans="1:32">
      <c r="A1" s="9" t="s">
        <v>4283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46277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19" t="s">
        <v>15</v>
      </c>
      <c r="S2" s="21" t="s">
        <v>16</v>
      </c>
      <c r="T2" s="21" t="s">
        <v>1082</v>
      </c>
      <c r="U2" s="21" t="s">
        <v>1081</v>
      </c>
      <c r="V2" s="141" t="s">
        <v>4021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4284</v>
      </c>
      <c r="M3" s="30" t="s">
        <v>4285</v>
      </c>
      <c r="N3" s="30" t="s">
        <v>4286</v>
      </c>
      <c r="O3" s="30" t="s">
        <v>4287</v>
      </c>
      <c r="P3" s="30" t="s">
        <v>4288</v>
      </c>
      <c r="Q3" s="19"/>
      <c r="R3" s="19"/>
      <c r="S3" s="21"/>
      <c r="T3" s="21"/>
      <c r="U3" s="21"/>
      <c r="V3" s="141"/>
      <c r="W3" s="21"/>
      <c r="X3" s="21"/>
      <c r="Y3" s="24"/>
      <c r="Z3" s="25"/>
      <c r="AA3" s="26"/>
      <c r="AB3" s="26"/>
      <c r="AC3" s="26"/>
      <c r="AD3" s="27"/>
    </row>
    <row r="4" s="1" customFormat="1" ht="27.75" customHeight="1" spans="1:32">
      <c r="A4" s="59">
        <f t="shared" ref="A4:A9" si="0">ROW()-3</f>
        <v>1</v>
      </c>
      <c r="B4" s="60" t="s">
        <v>779</v>
      </c>
      <c r="C4" s="15"/>
      <c r="D4" s="15"/>
      <c r="E4" s="60" t="s">
        <v>4289</v>
      </c>
      <c r="F4" s="17"/>
      <c r="G4" s="17"/>
      <c r="H4" s="17"/>
      <c r="I4" s="17"/>
      <c r="J4" s="60">
        <f t="shared" ref="J4:J9" si="1">SUM(L4:P4)</f>
        <v>250</v>
      </c>
      <c r="K4" s="60">
        <v>10</v>
      </c>
      <c r="L4" s="182">
        <v>50</v>
      </c>
      <c r="M4" s="182">
        <v>50</v>
      </c>
      <c r="N4" s="182">
        <v>50</v>
      </c>
      <c r="O4" s="182">
        <v>50</v>
      </c>
      <c r="P4" s="182">
        <v>50</v>
      </c>
      <c r="Q4" s="19"/>
      <c r="R4" s="19"/>
      <c r="S4" s="15"/>
      <c r="T4" s="15"/>
      <c r="U4" s="15"/>
      <c r="V4" s="183"/>
      <c r="W4" s="15"/>
      <c r="X4" s="15"/>
      <c r="Y4" s="15"/>
      <c r="Z4" s="25"/>
      <c r="AA4" s="184"/>
      <c r="AB4" s="184"/>
      <c r="AC4" s="184"/>
      <c r="AD4" s="27"/>
      <c r="AF4" s="159" t="s">
        <v>3235</v>
      </c>
    </row>
    <row r="5" s="2" customFormat="1" ht="27.75" customHeight="1" spans="1:32">
      <c r="A5" s="47">
        <f t="shared" si="0"/>
        <v>2</v>
      </c>
      <c r="B5" s="37" t="s">
        <v>4207</v>
      </c>
      <c r="C5" s="37" t="s">
        <v>421</v>
      </c>
      <c r="D5" s="37" t="s">
        <v>4208</v>
      </c>
      <c r="E5" s="37" t="s">
        <v>4209</v>
      </c>
      <c r="F5" s="56">
        <v>46093</v>
      </c>
      <c r="G5" s="56">
        <v>46168</v>
      </c>
      <c r="H5" s="56">
        <v>46168</v>
      </c>
      <c r="I5" s="56">
        <v>46136</v>
      </c>
      <c r="J5" s="37">
        <f t="shared" si="1"/>
        <v>13500</v>
      </c>
      <c r="K5" s="37">
        <v>10</v>
      </c>
      <c r="L5" s="37">
        <v>2700</v>
      </c>
      <c r="M5" s="37">
        <v>2700</v>
      </c>
      <c r="N5" s="37">
        <v>2700</v>
      </c>
      <c r="O5" s="37">
        <v>2700</v>
      </c>
      <c r="P5" s="37">
        <v>2700</v>
      </c>
      <c r="Q5" s="37" t="s">
        <v>2495</v>
      </c>
      <c r="R5" s="46" t="s">
        <v>196</v>
      </c>
      <c r="S5" s="37" t="s">
        <v>4083</v>
      </c>
      <c r="T5" s="37" t="s">
        <v>4083</v>
      </c>
      <c r="U5" s="37" t="s">
        <v>4083</v>
      </c>
      <c r="V5" s="54" t="s">
        <v>4084</v>
      </c>
      <c r="W5" s="37" t="s">
        <v>501</v>
      </c>
      <c r="X5" s="37" t="s">
        <v>2495</v>
      </c>
      <c r="Y5" s="37" t="s">
        <v>4210</v>
      </c>
      <c r="Z5" s="44">
        <v>46168</v>
      </c>
      <c r="AA5" s="44">
        <v>46171</v>
      </c>
      <c r="AB5" s="44"/>
      <c r="AC5" s="44">
        <v>46179</v>
      </c>
      <c r="AD5" s="55" t="s">
        <v>4212</v>
      </c>
      <c r="AE5" s="2" t="s">
        <v>4290</v>
      </c>
      <c r="AF5" s="2" t="s">
        <v>1607</v>
      </c>
    </row>
    <row r="6" s="2" customFormat="1" ht="27.75" customHeight="1" spans="1:32">
      <c r="A6" s="34">
        <f t="shared" si="0"/>
        <v>3</v>
      </c>
      <c r="B6" s="35" t="s">
        <v>4207</v>
      </c>
      <c r="C6" s="35" t="s">
        <v>421</v>
      </c>
      <c r="D6" s="35" t="s">
        <v>4219</v>
      </c>
      <c r="E6" s="35" t="s">
        <v>4220</v>
      </c>
      <c r="F6" s="36">
        <v>46093</v>
      </c>
      <c r="G6" s="36">
        <v>46182</v>
      </c>
      <c r="H6" s="36">
        <v>46182</v>
      </c>
      <c r="I6" s="36">
        <v>46136</v>
      </c>
      <c r="J6" s="35">
        <f t="shared" si="1"/>
        <v>9640</v>
      </c>
      <c r="K6" s="35">
        <v>10</v>
      </c>
      <c r="L6" s="37">
        <v>1928</v>
      </c>
      <c r="M6" s="37">
        <v>1928</v>
      </c>
      <c r="N6" s="37">
        <v>1928</v>
      </c>
      <c r="O6" s="37">
        <v>1928</v>
      </c>
      <c r="P6" s="37">
        <v>1928</v>
      </c>
      <c r="Q6" s="35" t="s">
        <v>499</v>
      </c>
      <c r="R6" s="45" t="s">
        <v>196</v>
      </c>
      <c r="S6" s="35" t="s">
        <v>501</v>
      </c>
      <c r="T6" s="35" t="s">
        <v>501</v>
      </c>
      <c r="U6" s="35" t="s">
        <v>501</v>
      </c>
      <c r="V6" s="35" t="s">
        <v>1184</v>
      </c>
      <c r="W6" s="35" t="s">
        <v>501</v>
      </c>
      <c r="X6" s="35" t="s">
        <v>499</v>
      </c>
      <c r="Y6" s="37" t="s">
        <v>4221</v>
      </c>
      <c r="Z6" s="39">
        <v>46182</v>
      </c>
      <c r="AA6" s="57">
        <v>46188</v>
      </c>
      <c r="AB6" s="39"/>
      <c r="AC6" s="39">
        <v>46195</v>
      </c>
      <c r="AD6" s="40" t="s">
        <v>4222</v>
      </c>
      <c r="AE6" s="2" t="s">
        <v>4290</v>
      </c>
      <c r="AF6" s="2" t="s">
        <v>1607</v>
      </c>
    </row>
    <row r="7" s="2" customFormat="1" ht="27.75" customHeight="1" spans="1:32">
      <c r="A7" s="34">
        <f t="shared" si="0"/>
        <v>4</v>
      </c>
      <c r="B7" s="35" t="s">
        <v>4207</v>
      </c>
      <c r="C7" s="35" t="s">
        <v>421</v>
      </c>
      <c r="D7" s="35" t="s">
        <v>4230</v>
      </c>
      <c r="E7" s="35" t="s">
        <v>4231</v>
      </c>
      <c r="F7" s="36">
        <v>46113</v>
      </c>
      <c r="G7" s="36">
        <v>46183</v>
      </c>
      <c r="H7" s="36">
        <v>46183</v>
      </c>
      <c r="I7" s="36">
        <v>46136</v>
      </c>
      <c r="J7" s="35">
        <f t="shared" si="1"/>
        <v>3200</v>
      </c>
      <c r="K7" s="35">
        <v>10</v>
      </c>
      <c r="L7" s="37">
        <v>640</v>
      </c>
      <c r="M7" s="37">
        <v>640</v>
      </c>
      <c r="N7" s="37">
        <v>640</v>
      </c>
      <c r="O7" s="37">
        <v>640</v>
      </c>
      <c r="P7" s="37">
        <v>640</v>
      </c>
      <c r="Q7" s="35" t="s">
        <v>499</v>
      </c>
      <c r="R7" s="45" t="s">
        <v>196</v>
      </c>
      <c r="S7" s="35" t="s">
        <v>501</v>
      </c>
      <c r="T7" s="35" t="s">
        <v>501</v>
      </c>
      <c r="U7" s="35" t="s">
        <v>501</v>
      </c>
      <c r="V7" s="35" t="s">
        <v>1184</v>
      </c>
      <c r="W7" s="35" t="s">
        <v>1072</v>
      </c>
      <c r="X7" s="35" t="s">
        <v>499</v>
      </c>
      <c r="Y7" s="37" t="s">
        <v>4232</v>
      </c>
      <c r="Z7" s="39">
        <v>46183</v>
      </c>
      <c r="AA7" s="57">
        <v>46190</v>
      </c>
      <c r="AB7" s="39"/>
      <c r="AC7" s="39" t="s">
        <v>4291</v>
      </c>
      <c r="AD7" s="40" t="s">
        <v>4233</v>
      </c>
      <c r="AE7" s="2" t="s">
        <v>4290</v>
      </c>
      <c r="AF7" s="2" t="s">
        <v>1610</v>
      </c>
    </row>
    <row r="8" s="2" customFormat="1" ht="27.75" customHeight="1" spans="1:32">
      <c r="A8" s="34">
        <f t="shared" si="0"/>
        <v>5</v>
      </c>
      <c r="B8" s="35" t="s">
        <v>4207</v>
      </c>
      <c r="C8" s="35" t="s">
        <v>421</v>
      </c>
      <c r="D8" s="35" t="s">
        <v>4234</v>
      </c>
      <c r="E8" s="35" t="s">
        <v>4235</v>
      </c>
      <c r="F8" s="36">
        <v>46113</v>
      </c>
      <c r="G8" s="36">
        <v>46192</v>
      </c>
      <c r="H8" s="36">
        <v>46192</v>
      </c>
      <c r="I8" s="36">
        <v>46136</v>
      </c>
      <c r="J8" s="35">
        <f t="shared" si="1"/>
        <v>13000</v>
      </c>
      <c r="K8" s="35">
        <v>10</v>
      </c>
      <c r="L8" s="37">
        <v>2600</v>
      </c>
      <c r="M8" s="37">
        <v>2600</v>
      </c>
      <c r="N8" s="37">
        <v>2600</v>
      </c>
      <c r="O8" s="37">
        <v>2600</v>
      </c>
      <c r="P8" s="37">
        <v>2600</v>
      </c>
      <c r="Q8" s="35" t="s">
        <v>499</v>
      </c>
      <c r="R8" s="45" t="s">
        <v>196</v>
      </c>
      <c r="S8" s="35" t="s">
        <v>501</v>
      </c>
      <c r="T8" s="35" t="s">
        <v>501</v>
      </c>
      <c r="U8" s="35" t="s">
        <v>501</v>
      </c>
      <c r="V8" s="35" t="s">
        <v>1184</v>
      </c>
      <c r="W8" s="35" t="s">
        <v>1072</v>
      </c>
      <c r="X8" s="35" t="s">
        <v>499</v>
      </c>
      <c r="Y8" s="37" t="s">
        <v>4210</v>
      </c>
      <c r="Z8" s="39">
        <v>46192</v>
      </c>
      <c r="AA8" s="57">
        <v>46211</v>
      </c>
      <c r="AB8" s="39"/>
      <c r="AC8" s="39">
        <v>46217</v>
      </c>
      <c r="AD8" s="40" t="s">
        <v>4236</v>
      </c>
      <c r="AE8" s="2" t="s">
        <v>4290</v>
      </c>
      <c r="AF8" s="2" t="s">
        <v>1610</v>
      </c>
    </row>
    <row r="9" s="2" customFormat="1" ht="27.6" customHeight="1" spans="1:32">
      <c r="A9" s="34">
        <f t="shared" si="0"/>
        <v>6</v>
      </c>
      <c r="B9" s="35" t="s">
        <v>4207</v>
      </c>
      <c r="C9" s="35" t="s">
        <v>421</v>
      </c>
      <c r="D9" s="35" t="s">
        <v>4292</v>
      </c>
      <c r="E9" s="35" t="s">
        <v>4293</v>
      </c>
      <c r="F9" s="36">
        <v>46148</v>
      </c>
      <c r="G9" s="36">
        <v>46243</v>
      </c>
      <c r="H9" s="36">
        <v>46243</v>
      </c>
      <c r="I9" s="36">
        <v>46212</v>
      </c>
      <c r="J9" s="35">
        <f t="shared" si="1"/>
        <v>5000</v>
      </c>
      <c r="K9" s="35">
        <v>10</v>
      </c>
      <c r="L9" s="37">
        <v>1000</v>
      </c>
      <c r="M9" s="37">
        <v>1000</v>
      </c>
      <c r="N9" s="37">
        <v>1000</v>
      </c>
      <c r="O9" s="37">
        <v>1000</v>
      </c>
      <c r="P9" s="37">
        <v>1000</v>
      </c>
      <c r="Q9" s="35" t="s">
        <v>1600</v>
      </c>
      <c r="R9" s="45" t="s">
        <v>196</v>
      </c>
      <c r="S9" s="38" t="s">
        <v>4138</v>
      </c>
      <c r="T9" s="38" t="s">
        <v>4138</v>
      </c>
      <c r="U9" s="38" t="s">
        <v>4138</v>
      </c>
      <c r="V9" s="38" t="s">
        <v>1207</v>
      </c>
      <c r="W9" s="35" t="s">
        <v>1227</v>
      </c>
      <c r="X9" s="35" t="s">
        <v>1600</v>
      </c>
      <c r="Y9" s="35" t="s">
        <v>4221</v>
      </c>
      <c r="Z9" s="39">
        <v>46243</v>
      </c>
      <c r="AA9" s="39">
        <v>46246</v>
      </c>
      <c r="AB9" s="39"/>
      <c r="AC9" s="39">
        <v>46275</v>
      </c>
      <c r="AD9" s="40" t="s">
        <v>4294</v>
      </c>
      <c r="AE9" s="2" t="s">
        <v>4295</v>
      </c>
      <c r="AF9" s="2" t="s">
        <v>2533</v>
      </c>
    </row>
    <row r="10" s="2" customFormat="1" ht="27.75" customHeight="1" spans="1:32">
      <c r="A10" s="59"/>
      <c r="B10" s="60"/>
      <c r="C10" s="60"/>
      <c r="D10" s="60"/>
      <c r="E10" s="60"/>
      <c r="F10" s="61"/>
      <c r="G10" s="61"/>
      <c r="H10" s="61"/>
      <c r="I10" s="61"/>
      <c r="J10" s="60"/>
      <c r="K10" s="60"/>
      <c r="L10" s="66"/>
      <c r="M10" s="66"/>
      <c r="N10" s="66"/>
      <c r="O10" s="66"/>
      <c r="P10" s="66"/>
      <c r="Q10" s="60"/>
      <c r="R10" s="60"/>
      <c r="S10" s="60"/>
      <c r="T10" s="60"/>
      <c r="U10" s="60"/>
      <c r="V10" s="60"/>
      <c r="W10" s="60"/>
      <c r="X10" s="60"/>
      <c r="Y10" s="60"/>
      <c r="Z10" s="68"/>
      <c r="AA10" s="68"/>
      <c r="AB10" s="68"/>
      <c r="AC10" s="68"/>
      <c r="AD10" s="70"/>
    </row>
    <row r="11" s="3" customFormat="1" ht="17.1" customHeight="1" spans="1:32">
      <c r="A11" s="93" t="s">
        <v>66</v>
      </c>
      <c r="B11" s="94"/>
      <c r="C11" s="94"/>
      <c r="D11" s="94"/>
      <c r="E11" s="94"/>
      <c r="F11" s="94"/>
      <c r="G11" s="94"/>
      <c r="H11" s="94"/>
      <c r="I11" s="94"/>
      <c r="J11" s="95">
        <f>SUM(J5:J10)</f>
        <v>44340</v>
      </c>
      <c r="K11" s="95"/>
      <c r="L11" s="95">
        <f>SUM(L4:L10)</f>
        <v>8918</v>
      </c>
      <c r="M11" s="95">
        <f>SUM(M4:M10)</f>
        <v>8918</v>
      </c>
      <c r="N11" s="95">
        <f>SUM(N4:N10)</f>
        <v>8918</v>
      </c>
      <c r="O11" s="95">
        <f>SUM(O4:O10)</f>
        <v>8918</v>
      </c>
      <c r="P11" s="95">
        <f>SUM(P4:P10)</f>
        <v>8918</v>
      </c>
      <c r="Q11" s="96"/>
      <c r="R11" s="96"/>
      <c r="S11" s="96"/>
      <c r="T11" s="96"/>
      <c r="U11" s="96"/>
      <c r="V11" s="96"/>
      <c r="W11" s="96"/>
      <c r="X11" s="96"/>
      <c r="Y11" s="97"/>
      <c r="Z11" s="97"/>
      <c r="AA11" s="97"/>
      <c r="AB11" s="97"/>
      <c r="AC11" s="97"/>
      <c r="AD11" s="98"/>
    </row>
    <row r="12" s="4" customFormat="1" ht="17.1" customHeight="1" spans="1:32">
      <c r="A12" s="99"/>
      <c r="B12" s="100"/>
      <c r="C12" s="100"/>
      <c r="D12" s="100"/>
      <c r="E12" s="100"/>
      <c r="F12" s="100"/>
      <c r="G12" s="100"/>
      <c r="H12" s="100"/>
      <c r="I12" s="100"/>
      <c r="J12" s="133">
        <f>SUM(L12:P12)</f>
        <v>44590</v>
      </c>
      <c r="K12" s="100"/>
      <c r="L12" s="100">
        <f t="shared" ref="L12:P12" si="2">4628+3240+50+1000</f>
        <v>8918</v>
      </c>
      <c r="M12" s="100">
        <f t="shared" si="2"/>
        <v>8918</v>
      </c>
      <c r="N12" s="100">
        <f t="shared" si="2"/>
        <v>8918</v>
      </c>
      <c r="O12" s="100">
        <f t="shared" si="2"/>
        <v>8918</v>
      </c>
      <c r="P12" s="100">
        <f t="shared" si="2"/>
        <v>8918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1"/>
      <c r="AA12" s="101"/>
      <c r="AB12" s="101"/>
      <c r="AC12" s="101"/>
      <c r="AD12" s="102"/>
    </row>
    <row r="13" s="4" customFormat="1" ht="17.1" customHeight="1" spans="1:32">
      <c r="A13" s="103" t="s">
        <v>67</v>
      </c>
      <c r="B13" s="104"/>
      <c r="C13" s="104"/>
      <c r="D13" s="104"/>
      <c r="E13" s="104"/>
      <c r="F13" s="104"/>
      <c r="G13" s="104"/>
      <c r="H13" s="104"/>
      <c r="I13" s="104"/>
      <c r="J13" s="105">
        <f>SUM(L13:P13)</f>
        <v>0</v>
      </c>
      <c r="K13" s="104"/>
      <c r="L13" s="106">
        <f>L12-L11</f>
        <v>0</v>
      </c>
      <c r="M13" s="106">
        <f>M12-M11</f>
        <v>0</v>
      </c>
      <c r="N13" s="106">
        <f>N12-N11</f>
        <v>0</v>
      </c>
      <c r="O13" s="106">
        <f>O12-O11</f>
        <v>0</v>
      </c>
      <c r="P13" s="106">
        <f>P12-P11</f>
        <v>0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8"/>
      <c r="AA13" s="108"/>
      <c r="AB13" s="108"/>
      <c r="AC13" s="108"/>
      <c r="AD13" s="109"/>
    </row>
    <row r="14" customFormat="1" spans="1:32">
      <c r="B14" s="110" t="s">
        <v>68</v>
      </c>
      <c r="C14" s="110"/>
      <c r="D14" s="111"/>
      <c r="E14" s="111"/>
      <c r="F14" s="112"/>
      <c r="G14" s="112"/>
      <c r="H14" s="112"/>
      <c r="I14" s="112"/>
      <c r="Z14" s="113"/>
      <c r="AA14" s="113"/>
      <c r="AB14" s="113"/>
      <c r="AC14" s="114"/>
    </row>
    <row r="16" spans="1:32">
      <c r="B16"/>
    </row>
    <row r="25" ht="22" customHeight="1" spans="2:2">
      <c r="B25" s="135" t="s">
        <v>4282</v>
      </c>
    </row>
  </sheetData>
  <autoFilter xmlns:etc="http://www.wps.cn/officeDocument/2017/etCustomData" ref="A3:AF9" etc:filterBottomFollowUsedRange="0">
    <extLst/>
  </autoFilter>
  <mergeCells count="32">
    <mergeCell ref="A1:Z1"/>
    <mergeCell ref="AA1:AB1"/>
    <mergeCell ref="AC1:AD1"/>
    <mergeCell ref="L2:P2"/>
    <mergeCell ref="A11:I11"/>
    <mergeCell ref="A12:I12"/>
    <mergeCell ref="A13:I1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13:P13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4583333333333" footer="0.314583333333333"/>
  <pageSetup paperSize="9" scale="56" orientation="landscape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AF42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U52" sqref="U52"/>
    </sheetView>
  </sheetViews>
  <sheetFormatPr defaultColWidth="9" defaultRowHeight="14.25"/>
  <cols>
    <col min="1" max="1" width="3.125" style="6" customWidth="1"/>
    <col min="2" max="2" width="8.625" style="6" customWidth="1"/>
    <col min="3" max="3" width="7.5" style="6" customWidth="1"/>
    <col min="4" max="4" width="12" style="6" customWidth="1"/>
    <col min="5" max="5" width="9.625" style="6" customWidth="1"/>
    <col min="6" max="9" width="5.5" style="7" customWidth="1"/>
    <col min="10" max="10" width="8.375" style="6" customWidth="1"/>
    <col min="11" max="11" width="4.875" style="6" customWidth="1"/>
    <col min="12" max="15" width="6.625" style="6" customWidth="1"/>
    <col min="16" max="16" width="6.5" style="6" customWidth="1"/>
    <col min="17" max="17" width="8.375" style="6" customWidth="1"/>
    <col min="18" max="18" width="5.125" style="6" customWidth="1"/>
    <col min="19" max="23" width="6" style="6" customWidth="1"/>
    <col min="24" max="24" width="8.125" style="6" customWidth="1"/>
    <col min="25" max="25" width="22.375" style="6" customWidth="1"/>
    <col min="26" max="26" width="9" style="8" customWidth="1"/>
    <col min="27" max="27" width="9.5" style="8" customWidth="1"/>
    <col min="28" max="28" width="9.125" style="8" customWidth="1"/>
    <col min="29" max="29" width="8.375" style="8" customWidth="1"/>
    <col min="30" max="30" width="18" style="6" customWidth="1"/>
    <col min="31" max="31" width="17.375" style="6" customWidth="1"/>
    <col min="32" max="32" width="9.125" style="6" customWidth="1"/>
    <col min="33" max="16384" width="9" style="6"/>
  </cols>
  <sheetData>
    <row r="1" ht="35.1" customHeight="1" spans="1:32">
      <c r="A1" s="9" t="s">
        <v>4296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46277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19" t="s">
        <v>15</v>
      </c>
      <c r="S2" s="21" t="s">
        <v>16</v>
      </c>
      <c r="T2" s="21" t="s">
        <v>1082</v>
      </c>
      <c r="U2" s="21" t="s">
        <v>1081</v>
      </c>
      <c r="V2" s="141" t="s">
        <v>4021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4297</v>
      </c>
      <c r="M3" s="30" t="s">
        <v>4298</v>
      </c>
      <c r="N3" s="30" t="s">
        <v>4299</v>
      </c>
      <c r="O3" s="30" t="s">
        <v>4300</v>
      </c>
      <c r="P3" s="30" t="s">
        <v>4301</v>
      </c>
      <c r="Q3" s="19"/>
      <c r="R3" s="19"/>
      <c r="S3" s="21"/>
      <c r="T3" s="21"/>
      <c r="U3" s="21"/>
      <c r="V3" s="141"/>
      <c r="W3" s="21"/>
      <c r="X3" s="21"/>
      <c r="Y3" s="24"/>
      <c r="Z3" s="25"/>
      <c r="AA3" s="26"/>
      <c r="AB3" s="26"/>
      <c r="AC3" s="26"/>
      <c r="AD3" s="27"/>
    </row>
    <row r="4" s="1" customFormat="1" ht="31.5" hidden="1" customHeight="1" spans="1:32">
      <c r="A4" s="34">
        <f t="shared" ref="A4:A25" si="0">ROW()-3</f>
        <v>1</v>
      </c>
      <c r="B4" s="35" t="s">
        <v>359</v>
      </c>
      <c r="C4" s="35" t="s">
        <v>360</v>
      </c>
      <c r="D4" s="35" t="s">
        <v>4302</v>
      </c>
      <c r="E4" s="35" t="s">
        <v>4303</v>
      </c>
      <c r="F4" s="36">
        <v>46079</v>
      </c>
      <c r="G4" s="36">
        <v>46154</v>
      </c>
      <c r="H4" s="36">
        <v>46154</v>
      </c>
      <c r="I4" s="36">
        <v>46085</v>
      </c>
      <c r="J4" s="35">
        <f t="shared" ref="J4:J9" si="1">SUM(L4:P4)</f>
        <v>10000</v>
      </c>
      <c r="K4" s="35">
        <v>10</v>
      </c>
      <c r="L4" s="37">
        <v>2000</v>
      </c>
      <c r="M4" s="37">
        <v>2000</v>
      </c>
      <c r="N4" s="37">
        <v>2000</v>
      </c>
      <c r="O4" s="37">
        <v>2000</v>
      </c>
      <c r="P4" s="37">
        <v>2000</v>
      </c>
      <c r="Q4" s="35" t="s">
        <v>2495</v>
      </c>
      <c r="R4" s="45" t="s">
        <v>104</v>
      </c>
      <c r="S4" s="38" t="s">
        <v>4154</v>
      </c>
      <c r="T4" s="38" t="s">
        <v>3735</v>
      </c>
      <c r="U4" s="38" t="s">
        <v>4154</v>
      </c>
      <c r="V4" s="38" t="s">
        <v>3735</v>
      </c>
      <c r="W4" s="35" t="s">
        <v>3417</v>
      </c>
      <c r="X4" s="35" t="s">
        <v>127</v>
      </c>
      <c r="Y4" s="35" t="s">
        <v>4304</v>
      </c>
      <c r="Z4" s="39">
        <v>46154</v>
      </c>
      <c r="AA4" s="39">
        <v>46150</v>
      </c>
      <c r="AB4" s="57"/>
      <c r="AC4" s="39">
        <v>46157</v>
      </c>
      <c r="AD4" s="40" t="s">
        <v>4305</v>
      </c>
      <c r="AE4" s="2" t="s">
        <v>4306</v>
      </c>
      <c r="AF4" s="2" t="s">
        <v>1610</v>
      </c>
    </row>
    <row r="5" s="2" customFormat="1" ht="30" hidden="1" customHeight="1" spans="1:32">
      <c r="A5" s="34">
        <f t="shared" si="0"/>
        <v>2</v>
      </c>
      <c r="B5" s="35" t="s">
        <v>2890</v>
      </c>
      <c r="C5" s="35" t="s">
        <v>1674</v>
      </c>
      <c r="D5" s="35" t="s">
        <v>4307</v>
      </c>
      <c r="E5" s="35" t="s">
        <v>4308</v>
      </c>
      <c r="F5" s="36">
        <v>46079</v>
      </c>
      <c r="G5" s="36">
        <v>46158</v>
      </c>
      <c r="H5" s="36">
        <v>46158</v>
      </c>
      <c r="I5" s="36">
        <v>46087</v>
      </c>
      <c r="J5" s="35">
        <f t="shared" si="1"/>
        <v>28970</v>
      </c>
      <c r="K5" s="35">
        <v>10</v>
      </c>
      <c r="L5" s="37">
        <v>5794</v>
      </c>
      <c r="M5" s="37">
        <v>5794</v>
      </c>
      <c r="N5" s="37">
        <v>5794</v>
      </c>
      <c r="O5" s="37">
        <v>5794</v>
      </c>
      <c r="P5" s="37">
        <v>5794</v>
      </c>
      <c r="Q5" s="35" t="s">
        <v>2495</v>
      </c>
      <c r="R5" s="46" t="s">
        <v>104</v>
      </c>
      <c r="S5" s="38" t="s">
        <v>4154</v>
      </c>
      <c r="T5" s="38" t="s">
        <v>3735</v>
      </c>
      <c r="U5" s="38" t="s">
        <v>4154</v>
      </c>
      <c r="V5" s="38" t="s">
        <v>3735</v>
      </c>
      <c r="W5" s="35" t="s">
        <v>3417</v>
      </c>
      <c r="X5" s="35" t="s">
        <v>127</v>
      </c>
      <c r="Y5" s="35" t="s">
        <v>4201</v>
      </c>
      <c r="Z5" s="39">
        <v>46158</v>
      </c>
      <c r="AA5" s="44">
        <v>46157</v>
      </c>
      <c r="AB5" s="39">
        <v>46164</v>
      </c>
      <c r="AC5" s="39" t="s">
        <v>4309</v>
      </c>
      <c r="AD5" s="40">
        <v>2592512</v>
      </c>
      <c r="AE5" s="2" t="s">
        <v>4306</v>
      </c>
      <c r="AF5" s="2" t="s">
        <v>1607</v>
      </c>
    </row>
    <row r="6" s="2" customFormat="1" ht="30" hidden="1" customHeight="1" spans="1:32">
      <c r="A6" s="47">
        <f t="shared" si="0"/>
        <v>3</v>
      </c>
      <c r="B6" s="37" t="s">
        <v>4207</v>
      </c>
      <c r="C6" s="37" t="s">
        <v>421</v>
      </c>
      <c r="D6" s="37" t="s">
        <v>4208</v>
      </c>
      <c r="E6" s="37" t="s">
        <v>4209</v>
      </c>
      <c r="F6" s="56">
        <v>46093</v>
      </c>
      <c r="G6" s="56">
        <v>46161</v>
      </c>
      <c r="H6" s="56">
        <v>46161</v>
      </c>
      <c r="I6" s="56">
        <v>46136</v>
      </c>
      <c r="J6" s="37">
        <f t="shared" si="1"/>
        <v>13500</v>
      </c>
      <c r="K6" s="37">
        <v>10</v>
      </c>
      <c r="L6" s="37">
        <v>2700</v>
      </c>
      <c r="M6" s="37">
        <v>2700</v>
      </c>
      <c r="N6" s="37">
        <v>2700</v>
      </c>
      <c r="O6" s="37">
        <v>2700</v>
      </c>
      <c r="P6" s="37">
        <v>2700</v>
      </c>
      <c r="Q6" s="37" t="s">
        <v>2495</v>
      </c>
      <c r="R6" s="46" t="s">
        <v>196</v>
      </c>
      <c r="S6" s="54" t="s">
        <v>4083</v>
      </c>
      <c r="T6" s="54" t="s">
        <v>4083</v>
      </c>
      <c r="U6" s="54" t="s">
        <v>4083</v>
      </c>
      <c r="V6" s="54" t="s">
        <v>4084</v>
      </c>
      <c r="W6" s="37" t="s">
        <v>501</v>
      </c>
      <c r="X6" s="37" t="s">
        <v>2495</v>
      </c>
      <c r="Y6" s="37" t="s">
        <v>4210</v>
      </c>
      <c r="Z6" s="44">
        <v>46161</v>
      </c>
      <c r="AA6" s="44">
        <v>46170</v>
      </c>
      <c r="AB6" s="44"/>
      <c r="AC6" s="44">
        <v>46179</v>
      </c>
      <c r="AD6" s="55" t="s">
        <v>4212</v>
      </c>
      <c r="AE6" s="2" t="s">
        <v>4310</v>
      </c>
      <c r="AF6" s="2" t="s">
        <v>1610</v>
      </c>
    </row>
    <row r="7" s="2" customFormat="1" ht="30" hidden="1" customHeight="1" spans="1:32">
      <c r="A7" s="34">
        <f t="shared" si="0"/>
        <v>4</v>
      </c>
      <c r="B7" s="35" t="s">
        <v>4311</v>
      </c>
      <c r="C7" s="35" t="s">
        <v>1945</v>
      </c>
      <c r="D7" s="35" t="s">
        <v>4312</v>
      </c>
      <c r="E7" s="35" t="s">
        <v>4313</v>
      </c>
      <c r="F7" s="36">
        <v>46091</v>
      </c>
      <c r="G7" s="36">
        <v>46171</v>
      </c>
      <c r="H7" s="36">
        <v>46171</v>
      </c>
      <c r="I7" s="36">
        <v>46140</v>
      </c>
      <c r="J7" s="35">
        <f t="shared" si="1"/>
        <v>4950</v>
      </c>
      <c r="K7" s="35">
        <v>10</v>
      </c>
      <c r="L7" s="37">
        <v>990</v>
      </c>
      <c r="M7" s="37">
        <v>990</v>
      </c>
      <c r="N7" s="37">
        <v>990</v>
      </c>
      <c r="O7" s="37">
        <v>990</v>
      </c>
      <c r="P7" s="37">
        <v>990</v>
      </c>
      <c r="Q7" s="35" t="s">
        <v>2495</v>
      </c>
      <c r="R7" s="46" t="s">
        <v>104</v>
      </c>
      <c r="S7" s="38" t="s">
        <v>4083</v>
      </c>
      <c r="T7" s="38" t="s">
        <v>4083</v>
      </c>
      <c r="U7" s="38" t="s">
        <v>4083</v>
      </c>
      <c r="V7" s="38" t="s">
        <v>4084</v>
      </c>
      <c r="W7" s="35" t="s">
        <v>744</v>
      </c>
      <c r="X7" s="35" t="s">
        <v>2495</v>
      </c>
      <c r="Y7" s="37" t="s">
        <v>4314</v>
      </c>
      <c r="Z7" s="39">
        <v>46171</v>
      </c>
      <c r="AA7" s="44">
        <v>46178</v>
      </c>
      <c r="AB7" s="39"/>
      <c r="AC7" s="39">
        <v>46200</v>
      </c>
      <c r="AD7" s="40">
        <v>875102</v>
      </c>
      <c r="AE7" s="2" t="s">
        <v>4306</v>
      </c>
      <c r="AF7" s="2" t="s">
        <v>3235</v>
      </c>
    </row>
    <row r="8" s="2" customFormat="1" ht="30" hidden="1" customHeight="1" spans="1:32">
      <c r="A8" s="47">
        <f t="shared" si="0"/>
        <v>5</v>
      </c>
      <c r="B8" s="37" t="s">
        <v>4311</v>
      </c>
      <c r="C8" s="37" t="s">
        <v>1945</v>
      </c>
      <c r="D8" s="37" t="s">
        <v>4315</v>
      </c>
      <c r="E8" s="37" t="s">
        <v>4316</v>
      </c>
      <c r="F8" s="56">
        <v>46091</v>
      </c>
      <c r="G8" s="56">
        <v>46171</v>
      </c>
      <c r="H8" s="56">
        <v>46171</v>
      </c>
      <c r="I8" s="56">
        <v>46140</v>
      </c>
      <c r="J8" s="37">
        <f t="shared" si="1"/>
        <v>5330</v>
      </c>
      <c r="K8" s="37">
        <v>10</v>
      </c>
      <c r="L8" s="37">
        <v>1066</v>
      </c>
      <c r="M8" s="37">
        <v>1066</v>
      </c>
      <c r="N8" s="37">
        <v>1066</v>
      </c>
      <c r="O8" s="37">
        <v>1066</v>
      </c>
      <c r="P8" s="37">
        <v>1066</v>
      </c>
      <c r="Q8" s="37" t="s">
        <v>2495</v>
      </c>
      <c r="R8" s="46" t="s">
        <v>104</v>
      </c>
      <c r="S8" s="54" t="s">
        <v>4083</v>
      </c>
      <c r="T8" s="54" t="s">
        <v>4083</v>
      </c>
      <c r="U8" s="54" t="s">
        <v>4083</v>
      </c>
      <c r="V8" s="54" t="s">
        <v>4084</v>
      </c>
      <c r="W8" s="37" t="s">
        <v>744</v>
      </c>
      <c r="X8" s="37" t="s">
        <v>2495</v>
      </c>
      <c r="Y8" s="37" t="s">
        <v>4314</v>
      </c>
      <c r="Z8" s="44">
        <v>46171</v>
      </c>
      <c r="AA8" s="44">
        <v>46178</v>
      </c>
      <c r="AB8" s="44"/>
      <c r="AC8" s="44">
        <v>46200</v>
      </c>
      <c r="AD8" s="55">
        <v>875100</v>
      </c>
      <c r="AE8" s="2" t="s">
        <v>4306</v>
      </c>
      <c r="AF8" s="2" t="s">
        <v>3235</v>
      </c>
    </row>
    <row r="9" s="2" customFormat="1" ht="30" hidden="1" customHeight="1" spans="1:32">
      <c r="A9" s="47">
        <f t="shared" si="0"/>
        <v>6</v>
      </c>
      <c r="B9" s="37" t="s">
        <v>4311</v>
      </c>
      <c r="C9" s="37" t="s">
        <v>1945</v>
      </c>
      <c r="D9" s="37" t="s">
        <v>4317</v>
      </c>
      <c r="E9" s="37" t="s">
        <v>4318</v>
      </c>
      <c r="F9" s="56">
        <v>46091</v>
      </c>
      <c r="G9" s="56">
        <v>46171</v>
      </c>
      <c r="H9" s="56">
        <v>46171</v>
      </c>
      <c r="I9" s="56">
        <v>46140</v>
      </c>
      <c r="J9" s="37">
        <f t="shared" si="1"/>
        <v>4730</v>
      </c>
      <c r="K9" s="37">
        <v>10</v>
      </c>
      <c r="L9" s="37">
        <v>946</v>
      </c>
      <c r="M9" s="37">
        <v>946</v>
      </c>
      <c r="N9" s="37">
        <v>946</v>
      </c>
      <c r="O9" s="37">
        <v>946</v>
      </c>
      <c r="P9" s="37">
        <v>946</v>
      </c>
      <c r="Q9" s="37" t="s">
        <v>2495</v>
      </c>
      <c r="R9" s="46" t="s">
        <v>104</v>
      </c>
      <c r="S9" s="54" t="s">
        <v>4083</v>
      </c>
      <c r="T9" s="54" t="s">
        <v>4083</v>
      </c>
      <c r="U9" s="54" t="s">
        <v>4083</v>
      </c>
      <c r="V9" s="54" t="s">
        <v>4084</v>
      </c>
      <c r="W9" s="37" t="s">
        <v>744</v>
      </c>
      <c r="X9" s="37" t="s">
        <v>2495</v>
      </c>
      <c r="Y9" s="37" t="s">
        <v>4314</v>
      </c>
      <c r="Z9" s="44">
        <v>46171</v>
      </c>
      <c r="AA9" s="44">
        <v>46178</v>
      </c>
      <c r="AB9" s="44"/>
      <c r="AC9" s="44">
        <v>46217</v>
      </c>
      <c r="AD9" s="55">
        <v>875099</v>
      </c>
      <c r="AE9" s="2" t="s">
        <v>4306</v>
      </c>
      <c r="AF9" s="2" t="s">
        <v>3235</v>
      </c>
    </row>
    <row r="10" s="2" customFormat="1" ht="30" hidden="1" customHeight="1" spans="1:32">
      <c r="A10" s="34">
        <f t="shared" si="0"/>
        <v>7</v>
      </c>
      <c r="B10" s="37" t="s">
        <v>359</v>
      </c>
      <c r="C10" s="37" t="s">
        <v>360</v>
      </c>
      <c r="D10" s="37" t="s">
        <v>4319</v>
      </c>
      <c r="E10" s="35" t="s">
        <v>4320</v>
      </c>
      <c r="F10" s="36">
        <v>46140</v>
      </c>
      <c r="G10" s="36">
        <v>46175</v>
      </c>
      <c r="H10" s="36">
        <v>46175</v>
      </c>
      <c r="I10" s="36">
        <v>46147</v>
      </c>
      <c r="J10" s="35">
        <f>SUBTOTAL(9,L10:P10)</f>
        <v>0</v>
      </c>
      <c r="K10" s="35">
        <v>10</v>
      </c>
      <c r="L10" s="37">
        <v>100</v>
      </c>
      <c r="M10" s="37">
        <v>100</v>
      </c>
      <c r="N10" s="37">
        <v>100</v>
      </c>
      <c r="O10" s="37">
        <v>100</v>
      </c>
      <c r="P10" s="37">
        <v>100</v>
      </c>
      <c r="Q10" s="35" t="s">
        <v>499</v>
      </c>
      <c r="R10" s="46" t="s">
        <v>104</v>
      </c>
      <c r="S10" s="38" t="s">
        <v>526</v>
      </c>
      <c r="T10" s="38" t="s">
        <v>526</v>
      </c>
      <c r="U10" s="38" t="s">
        <v>526</v>
      </c>
      <c r="V10" s="38" t="s">
        <v>1184</v>
      </c>
      <c r="W10" s="38" t="s">
        <v>144</v>
      </c>
      <c r="X10" s="35" t="s">
        <v>499</v>
      </c>
      <c r="Y10" s="37" t="s">
        <v>4250</v>
      </c>
      <c r="Z10" s="39">
        <v>46174</v>
      </c>
      <c r="AA10" s="44">
        <v>46178</v>
      </c>
      <c r="AB10" s="39"/>
      <c r="AC10" s="39">
        <v>46184</v>
      </c>
      <c r="AD10" s="40" t="s">
        <v>1771</v>
      </c>
      <c r="AE10" s="2" t="s">
        <v>4306</v>
      </c>
      <c r="AF10" s="2" t="s">
        <v>1782</v>
      </c>
    </row>
    <row r="11" s="2" customFormat="1" ht="30" hidden="1" customHeight="1" spans="1:32">
      <c r="A11" s="34">
        <f t="shared" si="0"/>
        <v>8</v>
      </c>
      <c r="B11" s="35" t="s">
        <v>4207</v>
      </c>
      <c r="C11" s="35" t="s">
        <v>421</v>
      </c>
      <c r="D11" s="35" t="s">
        <v>4219</v>
      </c>
      <c r="E11" s="35" t="s">
        <v>4220</v>
      </c>
      <c r="F11" s="36">
        <v>46093</v>
      </c>
      <c r="G11" s="36">
        <v>46182</v>
      </c>
      <c r="H11" s="36">
        <v>46182</v>
      </c>
      <c r="I11" s="36">
        <v>46136</v>
      </c>
      <c r="J11" s="35">
        <f t="shared" ref="J11:J17" si="2">SUM(L11:P11)</f>
        <v>9640</v>
      </c>
      <c r="K11" s="35">
        <v>10</v>
      </c>
      <c r="L11" s="37">
        <v>1928</v>
      </c>
      <c r="M11" s="37">
        <v>1928</v>
      </c>
      <c r="N11" s="37">
        <v>1928</v>
      </c>
      <c r="O11" s="37">
        <v>1928</v>
      </c>
      <c r="P11" s="37">
        <v>1928</v>
      </c>
      <c r="Q11" s="35" t="s">
        <v>499</v>
      </c>
      <c r="R11" s="46" t="s">
        <v>196</v>
      </c>
      <c r="S11" s="38" t="s">
        <v>501</v>
      </c>
      <c r="T11" s="38" t="s">
        <v>501</v>
      </c>
      <c r="U11" s="38" t="s">
        <v>501</v>
      </c>
      <c r="V11" s="38" t="s">
        <v>1184</v>
      </c>
      <c r="W11" s="35" t="s">
        <v>501</v>
      </c>
      <c r="X11" s="35" t="s">
        <v>499</v>
      </c>
      <c r="Y11" s="37" t="s">
        <v>4221</v>
      </c>
      <c r="Z11" s="39">
        <v>46182</v>
      </c>
      <c r="AA11" s="44">
        <v>46188</v>
      </c>
      <c r="AB11" s="39"/>
      <c r="AC11" s="39">
        <v>46195</v>
      </c>
      <c r="AD11" s="40" t="s">
        <v>4222</v>
      </c>
      <c r="AE11" s="2" t="s">
        <v>4310</v>
      </c>
      <c r="AF11" s="2" t="s">
        <v>1610</v>
      </c>
    </row>
    <row r="12" s="2" customFormat="1" ht="36" hidden="1" customHeight="1" spans="1:32">
      <c r="A12" s="34">
        <f t="shared" si="0"/>
        <v>9</v>
      </c>
      <c r="B12" s="35" t="s">
        <v>2890</v>
      </c>
      <c r="C12" s="35" t="s">
        <v>1674</v>
      </c>
      <c r="D12" s="35" t="s">
        <v>4321</v>
      </c>
      <c r="E12" s="35" t="s">
        <v>4322</v>
      </c>
      <c r="F12" s="36">
        <v>46079</v>
      </c>
      <c r="G12" s="36">
        <v>46177</v>
      </c>
      <c r="H12" s="36">
        <v>46177</v>
      </c>
      <c r="I12" s="36">
        <v>46087</v>
      </c>
      <c r="J12" s="35">
        <f t="shared" si="2"/>
        <v>17840</v>
      </c>
      <c r="K12" s="35">
        <v>10</v>
      </c>
      <c r="L12" s="37">
        <v>3568</v>
      </c>
      <c r="M12" s="37">
        <v>3568</v>
      </c>
      <c r="N12" s="37">
        <v>3568</v>
      </c>
      <c r="O12" s="37">
        <v>3568</v>
      </c>
      <c r="P12" s="37">
        <v>3568</v>
      </c>
      <c r="Q12" s="35" t="s">
        <v>499</v>
      </c>
      <c r="R12" s="46" t="s">
        <v>104</v>
      </c>
      <c r="S12" s="38" t="s">
        <v>501</v>
      </c>
      <c r="T12" s="38" t="s">
        <v>501</v>
      </c>
      <c r="U12" s="38" t="s">
        <v>501</v>
      </c>
      <c r="V12" s="38" t="s">
        <v>1184</v>
      </c>
      <c r="W12" s="35" t="s">
        <v>1072</v>
      </c>
      <c r="X12" s="35" t="s">
        <v>499</v>
      </c>
      <c r="Y12" s="35" t="s">
        <v>4201</v>
      </c>
      <c r="Z12" s="39">
        <v>46177</v>
      </c>
      <c r="AA12" s="44">
        <v>46184</v>
      </c>
      <c r="AB12" s="39">
        <v>46185</v>
      </c>
      <c r="AC12" s="39" t="s">
        <v>4323</v>
      </c>
      <c r="AD12" s="40">
        <v>2592518</v>
      </c>
      <c r="AE12" s="2" t="s">
        <v>4306</v>
      </c>
      <c r="AF12" s="2" t="s">
        <v>1607</v>
      </c>
    </row>
    <row r="13" s="2" customFormat="1" ht="30" hidden="1" customHeight="1" spans="1:32">
      <c r="A13" s="47">
        <f t="shared" si="0"/>
        <v>10</v>
      </c>
      <c r="B13" s="37" t="s">
        <v>3162</v>
      </c>
      <c r="C13" s="37" t="s">
        <v>360</v>
      </c>
      <c r="D13" s="37" t="s">
        <v>4223</v>
      </c>
      <c r="E13" s="37" t="s">
        <v>4224</v>
      </c>
      <c r="F13" s="56">
        <v>46099</v>
      </c>
      <c r="G13" s="56">
        <v>46177</v>
      </c>
      <c r="H13" s="56">
        <v>46177</v>
      </c>
      <c r="I13" s="56">
        <v>46134</v>
      </c>
      <c r="J13" s="37">
        <f t="shared" si="2"/>
        <v>2500</v>
      </c>
      <c r="K13" s="37">
        <v>10</v>
      </c>
      <c r="L13" s="37">
        <v>500</v>
      </c>
      <c r="M13" s="37">
        <v>500</v>
      </c>
      <c r="N13" s="37">
        <v>500</v>
      </c>
      <c r="O13" s="37">
        <v>500</v>
      </c>
      <c r="P13" s="37">
        <v>500</v>
      </c>
      <c r="Q13" s="37" t="s">
        <v>499</v>
      </c>
      <c r="R13" s="46" t="s">
        <v>104</v>
      </c>
      <c r="S13" s="54" t="s">
        <v>501</v>
      </c>
      <c r="T13" s="54" t="s">
        <v>501</v>
      </c>
      <c r="U13" s="54" t="s">
        <v>501</v>
      </c>
      <c r="V13" s="54" t="s">
        <v>1184</v>
      </c>
      <c r="W13" s="37" t="s">
        <v>1072</v>
      </c>
      <c r="X13" s="37" t="s">
        <v>499</v>
      </c>
      <c r="Y13" s="37" t="s">
        <v>4225</v>
      </c>
      <c r="Z13" s="44">
        <v>46177</v>
      </c>
      <c r="AA13" s="44">
        <v>46178</v>
      </c>
      <c r="AB13" s="44"/>
      <c r="AC13" s="44">
        <v>46179</v>
      </c>
      <c r="AD13" s="55" t="s">
        <v>4226</v>
      </c>
      <c r="AE13" s="2" t="s">
        <v>4306</v>
      </c>
      <c r="AF13" s="2" t="s">
        <v>2533</v>
      </c>
    </row>
    <row r="14" s="2" customFormat="1" ht="36" hidden="1" customHeight="1" spans="1:32">
      <c r="A14" s="34">
        <f t="shared" si="0"/>
        <v>11</v>
      </c>
      <c r="B14" s="35" t="s">
        <v>4207</v>
      </c>
      <c r="C14" s="35" t="s">
        <v>421</v>
      </c>
      <c r="D14" s="37" t="s">
        <v>4230</v>
      </c>
      <c r="E14" s="35" t="s">
        <v>4231</v>
      </c>
      <c r="F14" s="36">
        <v>46113</v>
      </c>
      <c r="G14" s="36">
        <v>46183</v>
      </c>
      <c r="H14" s="36">
        <v>46183</v>
      </c>
      <c r="I14" s="36">
        <v>46136</v>
      </c>
      <c r="J14" s="35">
        <f t="shared" si="2"/>
        <v>3200</v>
      </c>
      <c r="K14" s="35">
        <v>10</v>
      </c>
      <c r="L14" s="37">
        <v>640</v>
      </c>
      <c r="M14" s="37">
        <v>640</v>
      </c>
      <c r="N14" s="37">
        <v>640</v>
      </c>
      <c r="O14" s="37">
        <v>640</v>
      </c>
      <c r="P14" s="37">
        <v>640</v>
      </c>
      <c r="Q14" s="35" t="s">
        <v>499</v>
      </c>
      <c r="R14" s="46" t="s">
        <v>196</v>
      </c>
      <c r="S14" s="38" t="s">
        <v>501</v>
      </c>
      <c r="T14" s="38" t="s">
        <v>501</v>
      </c>
      <c r="U14" s="38" t="s">
        <v>501</v>
      </c>
      <c r="V14" s="38" t="s">
        <v>1184</v>
      </c>
      <c r="W14" s="35" t="s">
        <v>1072</v>
      </c>
      <c r="X14" s="35" t="s">
        <v>499</v>
      </c>
      <c r="Y14" s="37" t="s">
        <v>4232</v>
      </c>
      <c r="Z14" s="39">
        <v>46183</v>
      </c>
      <c r="AA14" s="44">
        <v>46190</v>
      </c>
      <c r="AB14" s="39"/>
      <c r="AC14" s="39">
        <v>46195</v>
      </c>
      <c r="AD14" s="40" t="s">
        <v>4233</v>
      </c>
      <c r="AE14" s="2" t="s">
        <v>4310</v>
      </c>
      <c r="AF14" s="2" t="s">
        <v>2533</v>
      </c>
    </row>
    <row r="15" s="2" customFormat="1" ht="30" hidden="1" customHeight="1" spans="1:32">
      <c r="A15" s="34">
        <f t="shared" si="0"/>
        <v>12</v>
      </c>
      <c r="B15" s="35" t="s">
        <v>3162</v>
      </c>
      <c r="C15" s="35" t="s">
        <v>360</v>
      </c>
      <c r="D15" s="37" t="s">
        <v>4324</v>
      </c>
      <c r="E15" s="35" t="s">
        <v>4325</v>
      </c>
      <c r="F15" s="36">
        <v>46101</v>
      </c>
      <c r="G15" s="36">
        <v>46185</v>
      </c>
      <c r="H15" s="36">
        <v>46185</v>
      </c>
      <c r="I15" s="36">
        <v>46136</v>
      </c>
      <c r="J15" s="35">
        <f t="shared" si="2"/>
        <v>2000</v>
      </c>
      <c r="K15" s="35">
        <v>10</v>
      </c>
      <c r="L15" s="37">
        <v>400</v>
      </c>
      <c r="M15" s="37">
        <v>400</v>
      </c>
      <c r="N15" s="37">
        <v>400</v>
      </c>
      <c r="O15" s="37">
        <v>400</v>
      </c>
      <c r="P15" s="37">
        <v>400</v>
      </c>
      <c r="Q15" s="35" t="s">
        <v>499</v>
      </c>
      <c r="R15" s="46" t="s">
        <v>104</v>
      </c>
      <c r="S15" s="38" t="s">
        <v>501</v>
      </c>
      <c r="T15" s="38" t="s">
        <v>501</v>
      </c>
      <c r="U15" s="38" t="s">
        <v>501</v>
      </c>
      <c r="V15" s="38" t="s">
        <v>1184</v>
      </c>
      <c r="W15" s="35" t="s">
        <v>1072</v>
      </c>
      <c r="X15" s="35" t="s">
        <v>499</v>
      </c>
      <c r="Y15" s="37" t="s">
        <v>4314</v>
      </c>
      <c r="Z15" s="39">
        <v>46185</v>
      </c>
      <c r="AA15" s="44">
        <v>46190</v>
      </c>
      <c r="AB15" s="39"/>
      <c r="AC15" s="39">
        <v>46195</v>
      </c>
      <c r="AD15" s="40" t="s">
        <v>3837</v>
      </c>
      <c r="AE15" s="2" t="s">
        <v>4306</v>
      </c>
      <c r="AF15" s="2" t="s">
        <v>2533</v>
      </c>
    </row>
    <row r="16" s="2" customFormat="1" ht="30" hidden="1" customHeight="1" spans="1:32">
      <c r="A16" s="34">
        <f t="shared" si="0"/>
        <v>13</v>
      </c>
      <c r="B16" s="35" t="s">
        <v>3162</v>
      </c>
      <c r="C16" s="35" t="s">
        <v>360</v>
      </c>
      <c r="D16" s="37" t="s">
        <v>3838</v>
      </c>
      <c r="E16" s="35" t="s">
        <v>3839</v>
      </c>
      <c r="F16" s="36">
        <v>46101</v>
      </c>
      <c r="G16" s="36">
        <v>46185</v>
      </c>
      <c r="H16" s="36">
        <v>46185</v>
      </c>
      <c r="I16" s="36">
        <v>46136</v>
      </c>
      <c r="J16" s="35">
        <f t="shared" si="2"/>
        <v>4000</v>
      </c>
      <c r="K16" s="35">
        <v>10</v>
      </c>
      <c r="L16" s="37">
        <v>800</v>
      </c>
      <c r="M16" s="37">
        <v>800</v>
      </c>
      <c r="N16" s="37">
        <v>800</v>
      </c>
      <c r="O16" s="37">
        <v>800</v>
      </c>
      <c r="P16" s="37">
        <v>800</v>
      </c>
      <c r="Q16" s="35" t="s">
        <v>499</v>
      </c>
      <c r="R16" s="46" t="s">
        <v>104</v>
      </c>
      <c r="S16" s="38" t="s">
        <v>501</v>
      </c>
      <c r="T16" s="38" t="s">
        <v>501</v>
      </c>
      <c r="U16" s="38" t="s">
        <v>501</v>
      </c>
      <c r="V16" s="38" t="s">
        <v>1184</v>
      </c>
      <c r="W16" s="35" t="s">
        <v>1072</v>
      </c>
      <c r="X16" s="35" t="s">
        <v>499</v>
      </c>
      <c r="Y16" s="37" t="s">
        <v>4314</v>
      </c>
      <c r="Z16" s="39">
        <v>46185</v>
      </c>
      <c r="AA16" s="44">
        <v>46185</v>
      </c>
      <c r="AB16" s="39"/>
      <c r="AC16" s="39">
        <v>46195</v>
      </c>
      <c r="AD16" s="40" t="s">
        <v>3840</v>
      </c>
      <c r="AE16" s="2" t="s">
        <v>4306</v>
      </c>
      <c r="AF16" s="2" t="s">
        <v>2533</v>
      </c>
    </row>
    <row r="17" s="2" customFormat="1" ht="36" hidden="1" customHeight="1" spans="1:32">
      <c r="A17" s="34">
        <f t="shared" si="0"/>
        <v>14</v>
      </c>
      <c r="B17" s="35" t="s">
        <v>4207</v>
      </c>
      <c r="C17" s="35" t="s">
        <v>421</v>
      </c>
      <c r="D17" s="37" t="s">
        <v>4234</v>
      </c>
      <c r="E17" s="35" t="s">
        <v>4235</v>
      </c>
      <c r="F17" s="36">
        <v>46113</v>
      </c>
      <c r="G17" s="36">
        <v>46192</v>
      </c>
      <c r="H17" s="36">
        <v>46192</v>
      </c>
      <c r="I17" s="36">
        <v>46136</v>
      </c>
      <c r="J17" s="35">
        <f t="shared" si="2"/>
        <v>12000</v>
      </c>
      <c r="K17" s="35">
        <v>10</v>
      </c>
      <c r="L17" s="37">
        <v>2400</v>
      </c>
      <c r="M17" s="37">
        <v>2400</v>
      </c>
      <c r="N17" s="37">
        <v>2400</v>
      </c>
      <c r="O17" s="37">
        <v>2400</v>
      </c>
      <c r="P17" s="37">
        <v>2400</v>
      </c>
      <c r="Q17" s="35" t="s">
        <v>499</v>
      </c>
      <c r="R17" s="45" t="s">
        <v>196</v>
      </c>
      <c r="S17" s="38" t="s">
        <v>501</v>
      </c>
      <c r="T17" s="38" t="s">
        <v>501</v>
      </c>
      <c r="U17" s="38" t="s">
        <v>501</v>
      </c>
      <c r="V17" s="38" t="s">
        <v>1184</v>
      </c>
      <c r="W17" s="35" t="s">
        <v>1072</v>
      </c>
      <c r="X17" s="35" t="s">
        <v>499</v>
      </c>
      <c r="Y17" s="37" t="s">
        <v>4210</v>
      </c>
      <c r="Z17" s="39">
        <v>46192</v>
      </c>
      <c r="AA17" s="44">
        <v>46203</v>
      </c>
      <c r="AB17" s="39"/>
      <c r="AC17" s="39">
        <v>46217</v>
      </c>
      <c r="AD17" s="40" t="s">
        <v>4236</v>
      </c>
      <c r="AE17" s="2" t="s">
        <v>4310</v>
      </c>
      <c r="AF17" s="2" t="s">
        <v>2533</v>
      </c>
    </row>
    <row r="18" s="2" customFormat="1" ht="27.75" hidden="1" customHeight="1" spans="1:32">
      <c r="A18" s="34">
        <f t="shared" si="0"/>
        <v>15</v>
      </c>
      <c r="B18" s="35" t="s">
        <v>4237</v>
      </c>
      <c r="C18" s="35" t="s">
        <v>114</v>
      </c>
      <c r="D18" s="37" t="s">
        <v>4238</v>
      </c>
      <c r="E18" s="35" t="s">
        <v>4239</v>
      </c>
      <c r="F18" s="36">
        <v>46101</v>
      </c>
      <c r="G18" s="36">
        <v>46197</v>
      </c>
      <c r="H18" s="36">
        <v>46197</v>
      </c>
      <c r="I18" s="36">
        <v>46135</v>
      </c>
      <c r="J18" s="35">
        <f t="shared" ref="J18:J20" si="3">SUBTOTAL(9,L18:P18)</f>
        <v>0</v>
      </c>
      <c r="K18" s="35">
        <v>10</v>
      </c>
      <c r="L18" s="37">
        <v>700</v>
      </c>
      <c r="M18" s="37">
        <v>700</v>
      </c>
      <c r="N18" s="37">
        <v>700</v>
      </c>
      <c r="O18" s="37">
        <v>700</v>
      </c>
      <c r="P18" s="37">
        <v>700</v>
      </c>
      <c r="Q18" s="35" t="s">
        <v>1749</v>
      </c>
      <c r="R18" s="45" t="s">
        <v>104</v>
      </c>
      <c r="S18" s="38" t="s">
        <v>526</v>
      </c>
      <c r="T18" s="38" t="s">
        <v>526</v>
      </c>
      <c r="U18" s="38" t="s">
        <v>526</v>
      </c>
      <c r="V18" s="38" t="s">
        <v>1875</v>
      </c>
      <c r="W18" s="35" t="s">
        <v>526</v>
      </c>
      <c r="X18" s="35" t="s">
        <v>1749</v>
      </c>
      <c r="Y18" s="37" t="s">
        <v>4240</v>
      </c>
      <c r="Z18" s="39">
        <v>46197</v>
      </c>
      <c r="AA18" s="44">
        <v>46199</v>
      </c>
      <c r="AB18" s="39"/>
      <c r="AC18" s="39">
        <v>46218</v>
      </c>
      <c r="AD18" s="40">
        <v>4504222790</v>
      </c>
      <c r="AE18" s="41" t="s">
        <v>4306</v>
      </c>
      <c r="AF18" s="2" t="s">
        <v>2533</v>
      </c>
    </row>
    <row r="19" s="2" customFormat="1" ht="27.75" hidden="1" customHeight="1" spans="1:32">
      <c r="A19" s="34" t="s">
        <v>4326</v>
      </c>
      <c r="B19" s="37" t="s">
        <v>4327</v>
      </c>
      <c r="C19" s="37" t="s">
        <v>1945</v>
      </c>
      <c r="D19" s="37" t="s">
        <v>3841</v>
      </c>
      <c r="E19" s="35" t="s">
        <v>3842</v>
      </c>
      <c r="F19" s="36">
        <v>46120</v>
      </c>
      <c r="G19" s="36">
        <v>46197</v>
      </c>
      <c r="H19" s="36">
        <v>46197</v>
      </c>
      <c r="I19" s="36">
        <v>46162</v>
      </c>
      <c r="J19" s="35">
        <f t="shared" si="3"/>
        <v>0</v>
      </c>
      <c r="K19" s="35">
        <v>10</v>
      </c>
      <c r="L19" s="37">
        <v>240</v>
      </c>
      <c r="M19" s="37">
        <v>240</v>
      </c>
      <c r="N19" s="37">
        <v>240</v>
      </c>
      <c r="O19" s="37">
        <v>240</v>
      </c>
      <c r="P19" s="37">
        <v>240</v>
      </c>
      <c r="Q19" s="35" t="s">
        <v>1749</v>
      </c>
      <c r="R19" s="45" t="s">
        <v>104</v>
      </c>
      <c r="S19" s="38" t="s">
        <v>526</v>
      </c>
      <c r="T19" s="38" t="s">
        <v>526</v>
      </c>
      <c r="U19" s="38" t="s">
        <v>526</v>
      </c>
      <c r="V19" s="38" t="s">
        <v>1875</v>
      </c>
      <c r="W19" s="35" t="s">
        <v>2170</v>
      </c>
      <c r="X19" s="35" t="s">
        <v>1749</v>
      </c>
      <c r="Y19" s="37" t="s">
        <v>4250</v>
      </c>
      <c r="Z19" s="39">
        <v>46197</v>
      </c>
      <c r="AA19" s="57">
        <v>46198</v>
      </c>
      <c r="AB19" s="39"/>
      <c r="AC19" s="39">
        <v>46214</v>
      </c>
      <c r="AD19" s="40" t="s">
        <v>3844</v>
      </c>
      <c r="AE19" s="41" t="s">
        <v>4306</v>
      </c>
      <c r="AF19" s="2" t="s">
        <v>1782</v>
      </c>
    </row>
    <row r="20" s="2" customFormat="1" ht="27.6" hidden="1" customHeight="1" spans="1:32">
      <c r="A20" s="34">
        <f t="shared" si="0"/>
        <v>17</v>
      </c>
      <c r="B20" s="37" t="s">
        <v>359</v>
      </c>
      <c r="C20" s="37" t="s">
        <v>360</v>
      </c>
      <c r="D20" s="37" t="s">
        <v>4328</v>
      </c>
      <c r="E20" s="51" t="s">
        <v>4329</v>
      </c>
      <c r="F20" s="36">
        <v>46140</v>
      </c>
      <c r="G20" s="36">
        <v>46205</v>
      </c>
      <c r="H20" s="36">
        <v>46205</v>
      </c>
      <c r="I20" s="36">
        <v>46147</v>
      </c>
      <c r="J20" s="35">
        <f t="shared" si="3"/>
        <v>0</v>
      </c>
      <c r="K20" s="35">
        <v>10</v>
      </c>
      <c r="L20" s="37">
        <v>300</v>
      </c>
      <c r="M20" s="37">
        <v>300</v>
      </c>
      <c r="N20" s="37">
        <v>300</v>
      </c>
      <c r="O20" s="37">
        <v>300</v>
      </c>
      <c r="P20" s="37">
        <v>300</v>
      </c>
      <c r="Q20" s="35" t="s">
        <v>1749</v>
      </c>
      <c r="R20" s="45" t="s">
        <v>104</v>
      </c>
      <c r="S20" s="38" t="s">
        <v>526</v>
      </c>
      <c r="T20" s="38" t="s">
        <v>526</v>
      </c>
      <c r="U20" s="38" t="s">
        <v>526</v>
      </c>
      <c r="V20" s="38" t="s">
        <v>1875</v>
      </c>
      <c r="W20" s="35" t="s">
        <v>390</v>
      </c>
      <c r="X20" s="35" t="s">
        <v>1749</v>
      </c>
      <c r="Y20" s="37" t="s">
        <v>4250</v>
      </c>
      <c r="Z20" s="39">
        <v>46205</v>
      </c>
      <c r="AA20" s="44">
        <v>46217</v>
      </c>
      <c r="AB20" s="39"/>
      <c r="AC20" s="39">
        <v>46217</v>
      </c>
      <c r="AD20" s="40" t="s">
        <v>1771</v>
      </c>
      <c r="AE20" s="41" t="s">
        <v>4306</v>
      </c>
      <c r="AF20" s="2" t="s">
        <v>1782</v>
      </c>
    </row>
    <row r="21" s="2" customFormat="1" ht="27" hidden="1" customHeight="1" spans="1:32">
      <c r="A21" s="34">
        <f t="shared" si="0"/>
        <v>18</v>
      </c>
      <c r="B21" s="35" t="s">
        <v>2890</v>
      </c>
      <c r="C21" s="35" t="s">
        <v>1674</v>
      </c>
      <c r="D21" s="35" t="s">
        <v>4330</v>
      </c>
      <c r="E21" s="35" t="s">
        <v>4331</v>
      </c>
      <c r="F21" s="36">
        <v>46079</v>
      </c>
      <c r="G21" s="36">
        <v>46207</v>
      </c>
      <c r="H21" s="36">
        <v>46207</v>
      </c>
      <c r="I21" s="36">
        <v>46087</v>
      </c>
      <c r="J21" s="35">
        <f>SUM(L21:P21)</f>
        <v>19320</v>
      </c>
      <c r="K21" s="35">
        <v>10</v>
      </c>
      <c r="L21" s="37">
        <v>3864</v>
      </c>
      <c r="M21" s="37">
        <v>3864</v>
      </c>
      <c r="N21" s="37">
        <v>3864</v>
      </c>
      <c r="O21" s="37">
        <v>3864</v>
      </c>
      <c r="P21" s="37">
        <v>3864</v>
      </c>
      <c r="Q21" s="35" t="s">
        <v>1749</v>
      </c>
      <c r="R21" s="45" t="s">
        <v>104</v>
      </c>
      <c r="S21" s="38" t="s">
        <v>526</v>
      </c>
      <c r="T21" s="38" t="s">
        <v>526</v>
      </c>
      <c r="U21" s="38" t="s">
        <v>526</v>
      </c>
      <c r="V21" s="38" t="s">
        <v>1875</v>
      </c>
      <c r="W21" s="35" t="s">
        <v>390</v>
      </c>
      <c r="X21" s="35" t="s">
        <v>1749</v>
      </c>
      <c r="Y21" s="37" t="s">
        <v>4243</v>
      </c>
      <c r="Z21" s="39">
        <v>46207</v>
      </c>
      <c r="AA21" s="44">
        <v>46217</v>
      </c>
      <c r="AB21" s="39">
        <v>46219</v>
      </c>
      <c r="AC21" s="39">
        <v>46233</v>
      </c>
      <c r="AD21" s="40">
        <v>2592522</v>
      </c>
      <c r="AE21" s="2" t="s">
        <v>4306</v>
      </c>
      <c r="AF21" s="2" t="s">
        <v>1607</v>
      </c>
    </row>
    <row r="22" s="2" customFormat="1" ht="27" hidden="1" customHeight="1" spans="1:32">
      <c r="A22" s="34">
        <f t="shared" si="0"/>
        <v>19</v>
      </c>
      <c r="B22" s="37" t="s">
        <v>4207</v>
      </c>
      <c r="C22" s="37" t="s">
        <v>421</v>
      </c>
      <c r="D22" s="37" t="s">
        <v>4244</v>
      </c>
      <c r="E22" s="37" t="s">
        <v>4245</v>
      </c>
      <c r="F22" s="36">
        <v>46113</v>
      </c>
      <c r="G22" s="36">
        <v>46205</v>
      </c>
      <c r="H22" s="36">
        <v>46205</v>
      </c>
      <c r="I22" s="36">
        <v>46182</v>
      </c>
      <c r="J22" s="35">
        <f>SUM(L22:P22)</f>
        <v>20000</v>
      </c>
      <c r="K22" s="35">
        <v>10</v>
      </c>
      <c r="L22" s="37">
        <v>4000</v>
      </c>
      <c r="M22" s="37">
        <v>4000</v>
      </c>
      <c r="N22" s="37">
        <v>4000</v>
      </c>
      <c r="O22" s="37">
        <v>4000</v>
      </c>
      <c r="P22" s="37">
        <v>4000</v>
      </c>
      <c r="Q22" s="35" t="s">
        <v>554</v>
      </c>
      <c r="R22" s="45" t="s">
        <v>196</v>
      </c>
      <c r="S22" s="38" t="s">
        <v>1750</v>
      </c>
      <c r="T22" s="38" t="s">
        <v>1750</v>
      </c>
      <c r="U22" s="38" t="s">
        <v>1750</v>
      </c>
      <c r="V22" s="38" t="s">
        <v>4128</v>
      </c>
      <c r="W22" s="35" t="s">
        <v>933</v>
      </c>
      <c r="X22" s="35" t="s">
        <v>554</v>
      </c>
      <c r="Y22" s="37" t="s">
        <v>4332</v>
      </c>
      <c r="Z22" s="39">
        <v>46205</v>
      </c>
      <c r="AA22" s="44">
        <v>46224</v>
      </c>
      <c r="AB22" s="39"/>
      <c r="AC22" s="39">
        <v>46224</v>
      </c>
      <c r="AD22" s="40" t="s">
        <v>4246</v>
      </c>
      <c r="AE22" s="2" t="s">
        <v>4310</v>
      </c>
      <c r="AF22" s="2" t="s">
        <v>1782</v>
      </c>
    </row>
    <row r="23" s="2" customFormat="1" ht="36" hidden="1" customHeight="1" spans="1:32">
      <c r="A23" s="34">
        <f t="shared" si="0"/>
        <v>20</v>
      </c>
      <c r="B23" s="37" t="s">
        <v>4255</v>
      </c>
      <c r="C23" s="37" t="s">
        <v>486</v>
      </c>
      <c r="D23" s="37" t="s">
        <v>4256</v>
      </c>
      <c r="E23" s="37" t="s">
        <v>4257</v>
      </c>
      <c r="F23" s="36">
        <v>46140</v>
      </c>
      <c r="G23" s="36">
        <v>46219</v>
      </c>
      <c r="H23" s="36">
        <v>46219</v>
      </c>
      <c r="I23" s="36">
        <v>46153</v>
      </c>
      <c r="J23" s="35">
        <f>SUM(L23:P23)</f>
        <v>3000</v>
      </c>
      <c r="K23" s="35">
        <v>10</v>
      </c>
      <c r="L23" s="37">
        <v>600</v>
      </c>
      <c r="M23" s="37">
        <v>600</v>
      </c>
      <c r="N23" s="37">
        <v>600</v>
      </c>
      <c r="O23" s="37">
        <v>600</v>
      </c>
      <c r="P23" s="37">
        <v>600</v>
      </c>
      <c r="Q23" s="35" t="s">
        <v>554</v>
      </c>
      <c r="R23" s="45" t="s">
        <v>104</v>
      </c>
      <c r="S23" s="38" t="s">
        <v>1750</v>
      </c>
      <c r="T23" s="38" t="s">
        <v>1750</v>
      </c>
      <c r="U23" s="38" t="s">
        <v>1750</v>
      </c>
      <c r="V23" s="38" t="s">
        <v>4128</v>
      </c>
      <c r="W23" s="35" t="s">
        <v>933</v>
      </c>
      <c r="X23" s="35" t="s">
        <v>554</v>
      </c>
      <c r="Y23" s="37" t="s">
        <v>4250</v>
      </c>
      <c r="Z23" s="39">
        <v>46219</v>
      </c>
      <c r="AA23" s="39">
        <v>46224</v>
      </c>
      <c r="AB23" s="39"/>
      <c r="AC23" s="39">
        <v>46233</v>
      </c>
      <c r="AD23" s="40" t="s">
        <v>4258</v>
      </c>
      <c r="AE23" s="2" t="s">
        <v>4306</v>
      </c>
      <c r="AF23" s="2" t="s">
        <v>1782</v>
      </c>
    </row>
    <row r="24" s="2" customFormat="1" ht="27" hidden="1" customHeight="1" spans="1:32">
      <c r="A24" s="34">
        <f t="shared" si="0"/>
        <v>21</v>
      </c>
      <c r="B24" s="37" t="s">
        <v>4271</v>
      </c>
      <c r="C24" s="37" t="s">
        <v>114</v>
      </c>
      <c r="D24" s="37" t="s">
        <v>4272</v>
      </c>
      <c r="E24" s="37" t="s">
        <v>4273</v>
      </c>
      <c r="F24" s="36">
        <v>46132</v>
      </c>
      <c r="G24" s="36">
        <v>46205</v>
      </c>
      <c r="H24" s="36">
        <v>46205</v>
      </c>
      <c r="I24" s="36">
        <v>46185</v>
      </c>
      <c r="J24" s="35">
        <f>SUBTOTAL(9,L24:P24)</f>
        <v>0</v>
      </c>
      <c r="K24" s="35">
        <v>10</v>
      </c>
      <c r="L24" s="37">
        <v>1500</v>
      </c>
      <c r="M24" s="37">
        <v>1500</v>
      </c>
      <c r="N24" s="37">
        <v>1500</v>
      </c>
      <c r="O24" s="37">
        <v>1500</v>
      </c>
      <c r="P24" s="37">
        <v>1500</v>
      </c>
      <c r="Q24" s="35" t="s">
        <v>554</v>
      </c>
      <c r="R24" s="45" t="s">
        <v>104</v>
      </c>
      <c r="S24" s="38" t="s">
        <v>1750</v>
      </c>
      <c r="T24" s="38" t="s">
        <v>1750</v>
      </c>
      <c r="U24" s="38" t="s">
        <v>1750</v>
      </c>
      <c r="V24" s="38" t="s">
        <v>4128</v>
      </c>
      <c r="W24" s="35" t="s">
        <v>933</v>
      </c>
      <c r="X24" s="35" t="s">
        <v>554</v>
      </c>
      <c r="Y24" s="35" t="s">
        <v>4250</v>
      </c>
      <c r="Z24" s="39">
        <v>46213</v>
      </c>
      <c r="AA24" s="39">
        <v>46226</v>
      </c>
      <c r="AB24" s="39"/>
      <c r="AC24" s="39">
        <v>46235</v>
      </c>
      <c r="AD24" s="40" t="s">
        <v>4274</v>
      </c>
      <c r="AE24" s="41" t="s">
        <v>4306</v>
      </c>
      <c r="AF24" s="2" t="s">
        <v>1782</v>
      </c>
    </row>
    <row r="25" s="2" customFormat="1" ht="27" hidden="1" customHeight="1" spans="1:32">
      <c r="A25" s="34">
        <f t="shared" si="0"/>
        <v>22</v>
      </c>
      <c r="B25" s="37" t="s">
        <v>4207</v>
      </c>
      <c r="C25" s="37" t="s">
        <v>421</v>
      </c>
      <c r="D25" s="37" t="s">
        <v>4252</v>
      </c>
      <c r="E25" s="37" t="s">
        <v>4253</v>
      </c>
      <c r="F25" s="36">
        <v>46122</v>
      </c>
      <c r="G25" s="36">
        <v>46217</v>
      </c>
      <c r="H25" s="36">
        <v>46217</v>
      </c>
      <c r="I25" s="36">
        <v>46182</v>
      </c>
      <c r="J25" s="35">
        <f>SUM(L25:P25)</f>
        <v>2210</v>
      </c>
      <c r="K25" s="35">
        <v>10</v>
      </c>
      <c r="L25" s="37">
        <v>442</v>
      </c>
      <c r="M25" s="37">
        <v>442</v>
      </c>
      <c r="N25" s="37">
        <v>442</v>
      </c>
      <c r="O25" s="37">
        <v>442</v>
      </c>
      <c r="P25" s="37">
        <v>442</v>
      </c>
      <c r="Q25" s="35" t="s">
        <v>554</v>
      </c>
      <c r="R25" s="45" t="s">
        <v>196</v>
      </c>
      <c r="S25" s="38" t="s">
        <v>1750</v>
      </c>
      <c r="T25" s="38" t="s">
        <v>1750</v>
      </c>
      <c r="U25" s="38" t="s">
        <v>1750</v>
      </c>
      <c r="V25" s="38" t="s">
        <v>4128</v>
      </c>
      <c r="W25" s="35" t="s">
        <v>933</v>
      </c>
      <c r="X25" s="35" t="s">
        <v>554</v>
      </c>
      <c r="Y25" s="37" t="s">
        <v>4332</v>
      </c>
      <c r="Z25" s="44">
        <v>46217</v>
      </c>
      <c r="AA25" s="44">
        <v>46230</v>
      </c>
      <c r="AB25" s="39"/>
      <c r="AC25" s="39">
        <v>46231</v>
      </c>
      <c r="AD25" s="40" t="s">
        <v>4254</v>
      </c>
      <c r="AE25" s="2" t="s">
        <v>4310</v>
      </c>
      <c r="AF25" s="2" t="s">
        <v>1782</v>
      </c>
    </row>
    <row r="26" s="2" customFormat="1" ht="27" hidden="1" customHeight="1" spans="1:32">
      <c r="A26" s="34">
        <f t="shared" ref="A26:A34" si="4">ROW()-3</f>
        <v>23</v>
      </c>
      <c r="B26" s="35" t="s">
        <v>3162</v>
      </c>
      <c r="C26" s="35" t="s">
        <v>360</v>
      </c>
      <c r="D26" s="37" t="s">
        <v>3845</v>
      </c>
      <c r="E26" s="35" t="s">
        <v>3846</v>
      </c>
      <c r="F26" s="36">
        <v>46101</v>
      </c>
      <c r="G26" s="36">
        <v>46223</v>
      </c>
      <c r="H26" s="36">
        <v>46223</v>
      </c>
      <c r="I26" s="36">
        <v>46136</v>
      </c>
      <c r="J26" s="35">
        <f>SUM(L26:P26)</f>
        <v>4000</v>
      </c>
      <c r="K26" s="35">
        <v>10</v>
      </c>
      <c r="L26" s="37">
        <v>800</v>
      </c>
      <c r="M26" s="37">
        <v>800</v>
      </c>
      <c r="N26" s="37">
        <v>800</v>
      </c>
      <c r="O26" s="37">
        <v>800</v>
      </c>
      <c r="P26" s="37">
        <v>800</v>
      </c>
      <c r="Q26" s="35" t="s">
        <v>554</v>
      </c>
      <c r="R26" s="45" t="s">
        <v>104</v>
      </c>
      <c r="S26" s="38" t="s">
        <v>1750</v>
      </c>
      <c r="T26" s="38" t="s">
        <v>1750</v>
      </c>
      <c r="U26" s="38" t="s">
        <v>1750</v>
      </c>
      <c r="V26" s="38" t="s">
        <v>4128</v>
      </c>
      <c r="W26" s="35" t="s">
        <v>3848</v>
      </c>
      <c r="X26" s="35" t="s">
        <v>554</v>
      </c>
      <c r="Y26" s="37" t="s">
        <v>4314</v>
      </c>
      <c r="Z26" s="142">
        <v>46234</v>
      </c>
      <c r="AA26" s="44">
        <v>46230</v>
      </c>
      <c r="AB26" s="39"/>
      <c r="AC26" s="39">
        <v>46231</v>
      </c>
      <c r="AD26" s="40" t="s">
        <v>3849</v>
      </c>
      <c r="AE26" s="2" t="s">
        <v>4306</v>
      </c>
      <c r="AF26" s="2" t="s">
        <v>2533</v>
      </c>
    </row>
    <row r="27" s="2" customFormat="1" ht="27" hidden="1" customHeight="1" spans="1:32">
      <c r="A27" s="34">
        <f t="shared" si="4"/>
        <v>24</v>
      </c>
      <c r="B27" s="37" t="s">
        <v>4207</v>
      </c>
      <c r="C27" s="37" t="s">
        <v>421</v>
      </c>
      <c r="D27" s="37" t="s">
        <v>4259</v>
      </c>
      <c r="E27" s="37" t="s">
        <v>4260</v>
      </c>
      <c r="F27" s="36">
        <v>46122</v>
      </c>
      <c r="G27" s="36">
        <v>46223</v>
      </c>
      <c r="H27" s="36">
        <v>46223</v>
      </c>
      <c r="I27" s="36" t="s">
        <v>4261</v>
      </c>
      <c r="J27" s="35">
        <f>SUM(L27:P27)</f>
        <v>3110</v>
      </c>
      <c r="K27" s="35">
        <v>10</v>
      </c>
      <c r="L27" s="37">
        <v>622</v>
      </c>
      <c r="M27" s="37">
        <v>622</v>
      </c>
      <c r="N27" s="37">
        <v>622</v>
      </c>
      <c r="O27" s="37">
        <v>622</v>
      </c>
      <c r="P27" s="37">
        <v>622</v>
      </c>
      <c r="Q27" s="35" t="s">
        <v>554</v>
      </c>
      <c r="R27" s="45" t="s">
        <v>196</v>
      </c>
      <c r="S27" s="38" t="s">
        <v>1750</v>
      </c>
      <c r="T27" s="38" t="s">
        <v>1750</v>
      </c>
      <c r="U27" s="38" t="s">
        <v>1750</v>
      </c>
      <c r="V27" s="38" t="s">
        <v>4128</v>
      </c>
      <c r="W27" s="35" t="s">
        <v>933</v>
      </c>
      <c r="X27" s="35" t="s">
        <v>554</v>
      </c>
      <c r="Y27" s="37" t="s">
        <v>4332</v>
      </c>
      <c r="Z27" s="39">
        <v>46223</v>
      </c>
      <c r="AA27" s="179">
        <v>46240</v>
      </c>
      <c r="AB27" s="39"/>
      <c r="AC27" s="39">
        <v>46251</v>
      </c>
      <c r="AD27" s="40" t="s">
        <v>4262</v>
      </c>
      <c r="AE27" s="2" t="s">
        <v>4310</v>
      </c>
      <c r="AF27" s="2" t="s">
        <v>1782</v>
      </c>
    </row>
    <row r="28" s="2" customFormat="1" ht="27" hidden="1" customHeight="1" spans="1:32">
      <c r="A28" s="34">
        <f t="shared" si="4"/>
        <v>25</v>
      </c>
      <c r="B28" s="35" t="s">
        <v>2890</v>
      </c>
      <c r="C28" s="35" t="s">
        <v>1674</v>
      </c>
      <c r="D28" s="35" t="s">
        <v>4333</v>
      </c>
      <c r="E28" s="35" t="s">
        <v>4334</v>
      </c>
      <c r="F28" s="36">
        <v>46079</v>
      </c>
      <c r="G28" s="36">
        <v>46228</v>
      </c>
      <c r="H28" s="36">
        <v>46228</v>
      </c>
      <c r="I28" s="36">
        <v>46087</v>
      </c>
      <c r="J28" s="35">
        <f>SUM(L28:P28)</f>
        <v>23270</v>
      </c>
      <c r="K28" s="35">
        <v>10</v>
      </c>
      <c r="L28" s="37">
        <v>4654</v>
      </c>
      <c r="M28" s="37">
        <v>4654</v>
      </c>
      <c r="N28" s="37">
        <v>4654</v>
      </c>
      <c r="O28" s="37">
        <v>4654</v>
      </c>
      <c r="P28" s="37">
        <v>4654</v>
      </c>
      <c r="Q28" s="35" t="s">
        <v>554</v>
      </c>
      <c r="R28" s="45" t="s">
        <v>104</v>
      </c>
      <c r="S28" s="38" t="s">
        <v>1750</v>
      </c>
      <c r="T28" s="38" t="s">
        <v>1750</v>
      </c>
      <c r="U28" s="38" t="s">
        <v>1750</v>
      </c>
      <c r="V28" s="38" t="s">
        <v>4128</v>
      </c>
      <c r="W28" s="35" t="s">
        <v>933</v>
      </c>
      <c r="X28" s="35" t="s">
        <v>554</v>
      </c>
      <c r="Y28" s="35" t="s">
        <v>4243</v>
      </c>
      <c r="Z28" s="39">
        <v>46228</v>
      </c>
      <c r="AA28" s="57">
        <v>46238</v>
      </c>
      <c r="AB28" s="58">
        <v>46239</v>
      </c>
      <c r="AC28" s="39">
        <v>46259</v>
      </c>
      <c r="AD28" s="40">
        <v>2592526</v>
      </c>
      <c r="AE28" s="2" t="s">
        <v>4306</v>
      </c>
      <c r="AF28" s="2" t="s">
        <v>1607</v>
      </c>
    </row>
    <row r="29" s="2" customFormat="1" ht="27" hidden="1" customHeight="1" spans="1:32">
      <c r="A29" s="34">
        <f t="shared" si="4"/>
        <v>26</v>
      </c>
      <c r="B29" s="35" t="s">
        <v>4335</v>
      </c>
      <c r="C29" s="35" t="s">
        <v>1932</v>
      </c>
      <c r="D29" s="35" t="s">
        <v>4336</v>
      </c>
      <c r="E29" s="35" t="s">
        <v>4337</v>
      </c>
      <c r="F29" s="36">
        <v>46155</v>
      </c>
      <c r="G29" s="36">
        <v>46239</v>
      </c>
      <c r="H29" s="36">
        <v>46239</v>
      </c>
      <c r="I29" s="36">
        <v>46162</v>
      </c>
      <c r="J29" s="35">
        <f>SUBTOTAL(9,L29:P29)</f>
        <v>0</v>
      </c>
      <c r="K29" s="35">
        <v>10</v>
      </c>
      <c r="L29" s="37">
        <v>360</v>
      </c>
      <c r="M29" s="37">
        <v>360</v>
      </c>
      <c r="N29" s="37">
        <v>360</v>
      </c>
      <c r="O29" s="37">
        <v>360</v>
      </c>
      <c r="P29" s="37">
        <v>360</v>
      </c>
      <c r="Q29" s="35" t="s">
        <v>1600</v>
      </c>
      <c r="R29" s="45" t="s">
        <v>104</v>
      </c>
      <c r="S29" s="38" t="s">
        <v>4138</v>
      </c>
      <c r="T29" s="38" t="s">
        <v>4138</v>
      </c>
      <c r="U29" s="38" t="s">
        <v>4138</v>
      </c>
      <c r="V29" s="38" t="s">
        <v>1207</v>
      </c>
      <c r="W29" s="35" t="s">
        <v>1227</v>
      </c>
      <c r="X29" s="35" t="s">
        <v>1600</v>
      </c>
      <c r="Y29" s="35" t="s">
        <v>4314</v>
      </c>
      <c r="Z29" s="39">
        <v>46239</v>
      </c>
      <c r="AA29" s="44">
        <v>46241</v>
      </c>
      <c r="AB29" s="39"/>
      <c r="AC29" s="39">
        <v>46266</v>
      </c>
      <c r="AD29" s="40" t="s">
        <v>4338</v>
      </c>
      <c r="AE29" s="2" t="s">
        <v>4306</v>
      </c>
      <c r="AF29" s="2" t="s">
        <v>1802</v>
      </c>
    </row>
    <row r="30" s="2" customFormat="1" ht="27" customHeight="1" spans="1:32">
      <c r="A30" s="71">
        <f t="shared" si="4"/>
        <v>27</v>
      </c>
      <c r="B30" s="72" t="s">
        <v>4339</v>
      </c>
      <c r="C30" s="72" t="s">
        <v>645</v>
      </c>
      <c r="D30" s="72" t="s">
        <v>4340</v>
      </c>
      <c r="E30" s="72"/>
      <c r="F30" s="73">
        <v>46157</v>
      </c>
      <c r="G30" s="73">
        <v>46248</v>
      </c>
      <c r="H30" s="73">
        <v>46248</v>
      </c>
      <c r="I30" s="73"/>
      <c r="J30" s="72">
        <f>SUBTOTAL(9,L30:P30)</f>
        <v>0</v>
      </c>
      <c r="K30" s="72">
        <v>10</v>
      </c>
      <c r="L30" s="76"/>
      <c r="M30" s="76"/>
      <c r="N30" s="76"/>
      <c r="O30" s="76"/>
      <c r="P30" s="76"/>
      <c r="Q30" s="72" t="s">
        <v>1600</v>
      </c>
      <c r="R30" s="74" t="s">
        <v>104</v>
      </c>
      <c r="S30" s="75" t="s">
        <v>4138</v>
      </c>
      <c r="T30" s="75" t="s">
        <v>4138</v>
      </c>
      <c r="U30" s="75" t="s">
        <v>4138</v>
      </c>
      <c r="V30" s="75" t="s">
        <v>1207</v>
      </c>
      <c r="W30" s="72"/>
      <c r="X30" s="72" t="s">
        <v>1600</v>
      </c>
      <c r="Y30" s="72" t="s">
        <v>4341</v>
      </c>
      <c r="Z30" s="77">
        <v>46248</v>
      </c>
      <c r="AA30" s="77"/>
      <c r="AB30" s="77"/>
      <c r="AC30" s="77" t="s">
        <v>1533</v>
      </c>
      <c r="AD30" s="78"/>
      <c r="AE30" s="2" t="s">
        <v>4306</v>
      </c>
      <c r="AF30" s="2" t="s">
        <v>1802</v>
      </c>
    </row>
    <row r="31" s="2" customFormat="1" ht="42" customHeight="1" spans="1:32">
      <c r="A31" s="71">
        <f t="shared" si="4"/>
        <v>28</v>
      </c>
      <c r="B31" s="72" t="s">
        <v>2890</v>
      </c>
      <c r="C31" s="72" t="s">
        <v>1674</v>
      </c>
      <c r="D31" s="72" t="s">
        <v>4342</v>
      </c>
      <c r="E31" s="72" t="s">
        <v>4343</v>
      </c>
      <c r="F31" s="73">
        <v>46079</v>
      </c>
      <c r="G31" s="73">
        <v>46262</v>
      </c>
      <c r="H31" s="73">
        <v>46262</v>
      </c>
      <c r="I31" s="73">
        <v>46087</v>
      </c>
      <c r="J31" s="72">
        <f>SUM(L31:P31)</f>
        <v>0</v>
      </c>
      <c r="K31" s="72">
        <v>10</v>
      </c>
      <c r="L31" s="76"/>
      <c r="M31" s="76"/>
      <c r="N31" s="76"/>
      <c r="O31" s="76"/>
      <c r="P31" s="76"/>
      <c r="Q31" s="72" t="s">
        <v>1600</v>
      </c>
      <c r="R31" s="74" t="s">
        <v>104</v>
      </c>
      <c r="S31" s="75" t="s">
        <v>4138</v>
      </c>
      <c r="T31" s="75" t="s">
        <v>4138</v>
      </c>
      <c r="U31" s="75" t="s">
        <v>4138</v>
      </c>
      <c r="V31" s="75" t="s">
        <v>1207</v>
      </c>
      <c r="W31" s="72" t="s">
        <v>1208</v>
      </c>
      <c r="X31" s="72" t="s">
        <v>1600</v>
      </c>
      <c r="Y31" s="72" t="s">
        <v>4243</v>
      </c>
      <c r="Z31" s="77">
        <v>46262</v>
      </c>
      <c r="AA31" s="77">
        <v>46274</v>
      </c>
      <c r="AB31" s="77">
        <v>46275</v>
      </c>
      <c r="AC31" s="77" t="s">
        <v>1533</v>
      </c>
      <c r="AD31" s="78">
        <v>2592437</v>
      </c>
      <c r="AE31" s="2" t="s">
        <v>4306</v>
      </c>
      <c r="AF31" s="2" t="s">
        <v>1607</v>
      </c>
    </row>
    <row r="32" s="2" customFormat="1" ht="27.75" customHeight="1" spans="1:32">
      <c r="A32" s="180">
        <f t="shared" si="4"/>
        <v>29</v>
      </c>
      <c r="B32" s="88" t="s">
        <v>3162</v>
      </c>
      <c r="C32" s="88" t="s">
        <v>360</v>
      </c>
      <c r="D32" s="88"/>
      <c r="E32" s="88" t="s">
        <v>4344</v>
      </c>
      <c r="F32" s="89">
        <v>46262</v>
      </c>
      <c r="G32" s="89">
        <v>46328</v>
      </c>
      <c r="H32" s="89">
        <v>46328</v>
      </c>
      <c r="I32" s="89"/>
      <c r="J32" s="88">
        <f>SUM(L32:P32)</f>
        <v>5000</v>
      </c>
      <c r="K32" s="88">
        <v>10</v>
      </c>
      <c r="L32" s="66">
        <v>1000</v>
      </c>
      <c r="M32" s="66">
        <v>1000</v>
      </c>
      <c r="N32" s="66">
        <v>1000</v>
      </c>
      <c r="O32" s="66">
        <v>1000</v>
      </c>
      <c r="P32" s="66">
        <v>1000</v>
      </c>
      <c r="Q32" s="63" t="s">
        <v>1600</v>
      </c>
      <c r="R32" s="63" t="s">
        <v>104</v>
      </c>
      <c r="S32" s="60" t="s">
        <v>82</v>
      </c>
      <c r="T32" s="60" t="s">
        <v>82</v>
      </c>
      <c r="U32" s="60" t="s">
        <v>82</v>
      </c>
      <c r="V32" s="60" t="s">
        <v>82</v>
      </c>
      <c r="W32" s="60"/>
      <c r="X32" s="60" t="s">
        <v>1600</v>
      </c>
      <c r="Y32" s="60"/>
      <c r="Z32" s="67">
        <v>46328</v>
      </c>
      <c r="AA32" s="68"/>
      <c r="AB32" s="68"/>
      <c r="AC32" s="68"/>
      <c r="AD32" s="70"/>
      <c r="AE32" s="2" t="s">
        <v>4345</v>
      </c>
      <c r="AF32" s="2" t="s">
        <v>1607</v>
      </c>
    </row>
    <row r="33" s="2" customFormat="1" ht="27.75" customHeight="1" spans="1:30">
      <c r="A33" s="59">
        <f t="shared" si="4"/>
        <v>30</v>
      </c>
      <c r="B33" s="60"/>
      <c r="C33" s="60"/>
      <c r="D33" s="60"/>
      <c r="E33" s="60"/>
      <c r="F33" s="61"/>
      <c r="G33" s="61"/>
      <c r="H33" s="61"/>
      <c r="I33" s="61"/>
      <c r="J33" s="60"/>
      <c r="K33" s="60"/>
      <c r="L33" s="66"/>
      <c r="M33" s="66"/>
      <c r="N33" s="66"/>
      <c r="O33" s="66"/>
      <c r="P33" s="66"/>
      <c r="Q33" s="63"/>
      <c r="R33" s="63"/>
      <c r="S33" s="60"/>
      <c r="T33" s="60"/>
      <c r="U33" s="60"/>
      <c r="V33" s="60"/>
      <c r="W33" s="60"/>
      <c r="X33" s="60"/>
      <c r="Y33" s="60"/>
      <c r="Z33" s="67"/>
      <c r="AA33" s="68"/>
      <c r="AB33" s="68"/>
      <c r="AC33" s="68"/>
      <c r="AD33" s="70"/>
    </row>
    <row r="34" s="2" customFormat="1" ht="27.75" customHeight="1" spans="1:30">
      <c r="A34" s="59">
        <f t="shared" si="4"/>
        <v>31</v>
      </c>
      <c r="B34" s="60"/>
      <c r="C34" s="60"/>
      <c r="D34" s="60"/>
      <c r="E34" s="60"/>
      <c r="F34" s="61"/>
      <c r="G34" s="61"/>
      <c r="H34" s="61"/>
      <c r="I34" s="61"/>
      <c r="J34" s="60"/>
      <c r="K34" s="60"/>
      <c r="L34" s="66"/>
      <c r="M34" s="66"/>
      <c r="N34" s="66"/>
      <c r="O34" s="66"/>
      <c r="P34" s="66"/>
      <c r="Q34" s="63"/>
      <c r="R34" s="63"/>
      <c r="S34" s="60"/>
      <c r="T34" s="60"/>
      <c r="U34" s="60"/>
      <c r="V34" s="60"/>
      <c r="W34" s="60"/>
      <c r="X34" s="60"/>
      <c r="Y34" s="60"/>
      <c r="Z34" s="67"/>
      <c r="AA34" s="68"/>
      <c r="AB34" s="68"/>
      <c r="AC34" s="68"/>
      <c r="AD34" s="70"/>
    </row>
    <row r="35" s="2" customFormat="1" ht="27.75" customHeight="1" spans="1:30">
      <c r="A35" s="59"/>
      <c r="B35" s="60"/>
      <c r="C35" s="60"/>
      <c r="D35" s="60"/>
      <c r="E35" s="60"/>
      <c r="F35" s="61"/>
      <c r="G35" s="61"/>
      <c r="H35" s="61"/>
      <c r="I35" s="61"/>
      <c r="J35" s="60"/>
      <c r="K35" s="60"/>
      <c r="L35" s="66"/>
      <c r="M35" s="66"/>
      <c r="N35" s="66"/>
      <c r="O35" s="66"/>
      <c r="P35" s="66"/>
      <c r="Q35" s="60"/>
      <c r="R35" s="60"/>
      <c r="S35" s="60"/>
      <c r="T35" s="60"/>
      <c r="U35" s="60"/>
      <c r="V35" s="60"/>
      <c r="W35" s="60"/>
      <c r="X35" s="60"/>
      <c r="Y35" s="60"/>
      <c r="Z35" s="68"/>
      <c r="AA35" s="68"/>
      <c r="AB35" s="68"/>
      <c r="AC35" s="68"/>
      <c r="AD35" s="70"/>
    </row>
    <row r="36" s="3" customFormat="1" ht="17.1" customHeight="1" spans="1:30">
      <c r="A36" s="93" t="s">
        <v>66</v>
      </c>
      <c r="B36" s="94"/>
      <c r="C36" s="94"/>
      <c r="D36" s="94"/>
      <c r="E36" s="94"/>
      <c r="F36" s="94"/>
      <c r="G36" s="94"/>
      <c r="H36" s="94"/>
      <c r="I36" s="94"/>
      <c r="J36" s="95">
        <f>SUM(J5:J35)</f>
        <v>188570</v>
      </c>
      <c r="K36" s="95"/>
      <c r="L36" s="95">
        <f>SUM(L4:L35)</f>
        <v>42914</v>
      </c>
      <c r="M36" s="95">
        <f>SUM(M4:M35)</f>
        <v>42914</v>
      </c>
      <c r="N36" s="95">
        <f>SUM(N4:N35)</f>
        <v>42914</v>
      </c>
      <c r="O36" s="95">
        <f>SUM(O4:O35)</f>
        <v>42914</v>
      </c>
      <c r="P36" s="95">
        <f>SUM(P4:P35)</f>
        <v>42914</v>
      </c>
      <c r="Q36" s="96"/>
      <c r="R36" s="96"/>
      <c r="S36" s="96"/>
      <c r="T36" s="96"/>
      <c r="U36" s="96"/>
      <c r="V36" s="96"/>
      <c r="W36" s="96"/>
      <c r="X36" s="96"/>
      <c r="Y36" s="97"/>
      <c r="Z36" s="97"/>
      <c r="AA36" s="97"/>
      <c r="AB36" s="97"/>
      <c r="AC36" s="97"/>
      <c r="AD36" s="98"/>
    </row>
    <row r="37" s="4" customFormat="1" ht="17.1" customHeight="1" spans="1:30">
      <c r="A37" s="99"/>
      <c r="B37" s="100"/>
      <c r="C37" s="100"/>
      <c r="D37" s="100"/>
      <c r="E37" s="100"/>
      <c r="F37" s="100"/>
      <c r="G37" s="100"/>
      <c r="H37" s="100"/>
      <c r="I37" s="100"/>
      <c r="J37" s="133">
        <f>SUM(L37:P37)</f>
        <v>241310</v>
      </c>
      <c r="K37" s="100"/>
      <c r="L37" s="100">
        <f t="shared" ref="L37:P37" si="5">23728+6628+3002+6240+7804+860</f>
        <v>48262</v>
      </c>
      <c r="M37" s="100">
        <f t="shared" si="5"/>
        <v>48262</v>
      </c>
      <c r="N37" s="100">
        <f t="shared" si="5"/>
        <v>48262</v>
      </c>
      <c r="O37" s="100">
        <f t="shared" si="5"/>
        <v>48262</v>
      </c>
      <c r="P37" s="100">
        <f t="shared" si="5"/>
        <v>48262</v>
      </c>
      <c r="Q37" s="100"/>
      <c r="R37" s="100"/>
      <c r="S37" s="100"/>
      <c r="T37" s="100"/>
      <c r="U37" s="100"/>
      <c r="V37" s="100"/>
      <c r="W37" s="100"/>
      <c r="X37" s="100"/>
      <c r="Y37" s="100"/>
      <c r="Z37" s="101"/>
      <c r="AA37" s="101"/>
      <c r="AB37" s="101"/>
      <c r="AC37" s="101"/>
      <c r="AD37" s="102"/>
    </row>
    <row r="38" s="4" customFormat="1" ht="17.1" customHeight="1" spans="1:30">
      <c r="A38" s="103" t="s">
        <v>67</v>
      </c>
      <c r="B38" s="104"/>
      <c r="C38" s="104"/>
      <c r="D38" s="104"/>
      <c r="E38" s="104"/>
      <c r="F38" s="104"/>
      <c r="G38" s="104"/>
      <c r="H38" s="104"/>
      <c r="I38" s="104"/>
      <c r="J38" s="105">
        <f>SUM(L38:P38)</f>
        <v>26740</v>
      </c>
      <c r="K38" s="104"/>
      <c r="L38" s="106">
        <f>L37-L36</f>
        <v>5348</v>
      </c>
      <c r="M38" s="106">
        <f>M37-M36</f>
        <v>5348</v>
      </c>
      <c r="N38" s="106">
        <f>N37-N36</f>
        <v>5348</v>
      </c>
      <c r="O38" s="106">
        <f>O37-O36</f>
        <v>5348</v>
      </c>
      <c r="P38" s="106">
        <f>P37-P36</f>
        <v>5348</v>
      </c>
      <c r="Q38" s="107"/>
      <c r="R38" s="107"/>
      <c r="S38" s="107"/>
      <c r="T38" s="107"/>
      <c r="U38" s="107"/>
      <c r="V38" s="107"/>
      <c r="W38" s="107"/>
      <c r="X38" s="107"/>
      <c r="Y38" s="107"/>
      <c r="Z38" s="108"/>
      <c r="AA38" s="108"/>
      <c r="AB38" s="108"/>
      <c r="AC38" s="108"/>
      <c r="AD38" s="109"/>
    </row>
    <row r="39" customFormat="1" spans="1:30">
      <c r="B39" s="110" t="s">
        <v>68</v>
      </c>
      <c r="C39" s="110"/>
      <c r="D39" s="111"/>
      <c r="E39" s="111"/>
      <c r="F39" s="112"/>
      <c r="G39" s="112"/>
      <c r="H39" s="112"/>
      <c r="I39" s="112"/>
      <c r="Z39" s="113"/>
      <c r="AA39" s="113"/>
      <c r="AB39" s="113"/>
      <c r="AC39" s="114"/>
    </row>
    <row r="42" s="153" customFormat="1" ht="27" customHeight="1" spans="1:30">
      <c r="B42" s="135" t="s">
        <v>4282</v>
      </c>
      <c r="F42" s="156"/>
      <c r="G42" s="156"/>
      <c r="H42" s="181" t="s">
        <v>4346</v>
      </c>
      <c r="I42" s="156"/>
      <c r="S42" s="153">
        <f t="shared" ref="S42:V42" si="6">6348-1000</f>
        <v>5348</v>
      </c>
      <c r="T42" s="153">
        <f t="shared" si="6"/>
        <v>5348</v>
      </c>
      <c r="U42" s="153">
        <f t="shared" si="6"/>
        <v>5348</v>
      </c>
      <c r="V42" s="153">
        <f t="shared" si="6"/>
        <v>5348</v>
      </c>
      <c r="W42" s="153">
        <v>2924</v>
      </c>
      <c r="Z42" s="158"/>
      <c r="AA42" s="158"/>
      <c r="AB42" s="158"/>
      <c r="AC42" s="158"/>
    </row>
  </sheetData>
  <autoFilter xmlns:etc="http://www.wps.cn/officeDocument/2017/etCustomData" ref="A3:AF34" etc:filterBottomFollowUsedRange="0">
    <filterColumn colId="28">
      <filters blank="1"/>
    </filterColumn>
    <extLst/>
  </autoFilter>
  <mergeCells count="32">
    <mergeCell ref="A1:Z1"/>
    <mergeCell ref="AA1:AB1"/>
    <mergeCell ref="AC1:AD1"/>
    <mergeCell ref="L2:P2"/>
    <mergeCell ref="A36:I36"/>
    <mergeCell ref="A37:I37"/>
    <mergeCell ref="A38:I3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38:P38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57" orientation="landscape"/>
  <headerFooter/>
  <legacy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AF29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W32" sqref="W32"/>
    </sheetView>
  </sheetViews>
  <sheetFormatPr defaultColWidth="9" defaultRowHeight="14.25"/>
  <cols>
    <col min="1" max="1" width="3.125" style="6" customWidth="1"/>
    <col min="2" max="2" width="8.625" style="6" customWidth="1"/>
    <col min="3" max="3" width="6.875" style="6" customWidth="1"/>
    <col min="4" max="4" width="11" style="6" customWidth="1"/>
    <col min="5" max="5" width="9.875" style="6" customWidth="1"/>
    <col min="6" max="9" width="5" style="7" customWidth="1"/>
    <col min="10" max="10" width="8.375" style="6" customWidth="1"/>
    <col min="11" max="11" width="4.875" style="6" customWidth="1"/>
    <col min="12" max="15" width="6.625" style="6" customWidth="1"/>
    <col min="16" max="16" width="6.5" style="6" customWidth="1"/>
    <col min="17" max="17" width="8.375" style="6" customWidth="1"/>
    <col min="18" max="18" width="5.125" style="6" customWidth="1"/>
    <col min="19" max="23" width="6" style="6" customWidth="1"/>
    <col min="24" max="24" width="8.125" style="6" customWidth="1"/>
    <col min="25" max="25" width="22" style="6" customWidth="1"/>
    <col min="26" max="26" width="9" style="8" customWidth="1"/>
    <col min="27" max="27" width="9.5" style="8" customWidth="1"/>
    <col min="28" max="28" width="9.125" style="8" customWidth="1"/>
    <col min="29" max="29" width="8.375" style="8" customWidth="1"/>
    <col min="30" max="30" width="18" style="6" customWidth="1"/>
    <col min="31" max="31" width="17.375" style="6" customWidth="1"/>
    <col min="32" max="32" width="9.75" style="6" customWidth="1"/>
    <col min="33" max="16384" width="9" style="6"/>
  </cols>
  <sheetData>
    <row r="1" ht="35.1" customHeight="1" spans="1:32">
      <c r="A1" s="9" t="s">
        <v>4347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46277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19" t="s">
        <v>15</v>
      </c>
      <c r="S2" s="21" t="s">
        <v>16</v>
      </c>
      <c r="T2" s="21" t="s">
        <v>4348</v>
      </c>
      <c r="U2" s="21" t="s">
        <v>1081</v>
      </c>
      <c r="V2" s="141" t="s">
        <v>4021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4047</v>
      </c>
      <c r="M3" s="30" t="s">
        <v>4048</v>
      </c>
      <c r="N3" s="30" t="s">
        <v>4049</v>
      </c>
      <c r="O3" s="30" t="s">
        <v>4050</v>
      </c>
      <c r="P3" s="30" t="s">
        <v>4051</v>
      </c>
      <c r="Q3" s="19"/>
      <c r="R3" s="19"/>
      <c r="S3" s="21"/>
      <c r="T3" s="21"/>
      <c r="U3" s="21"/>
      <c r="V3" s="141"/>
      <c r="W3" s="21"/>
      <c r="X3" s="21"/>
      <c r="Y3" s="24"/>
      <c r="Z3" s="25"/>
      <c r="AA3" s="26"/>
      <c r="AB3" s="26"/>
      <c r="AC3" s="26"/>
      <c r="AD3" s="27"/>
    </row>
    <row r="4" s="2" customFormat="1" ht="36" hidden="1" customHeight="1" spans="1:32">
      <c r="A4" s="34">
        <f t="shared" ref="A4:A25" si="0">ROW()-3</f>
        <v>1</v>
      </c>
      <c r="B4" s="35" t="s">
        <v>4349</v>
      </c>
      <c r="C4" s="35" t="s">
        <v>1674</v>
      </c>
      <c r="D4" s="35" t="s">
        <v>4350</v>
      </c>
      <c r="E4" s="35"/>
      <c r="F4" s="36">
        <v>45958</v>
      </c>
      <c r="G4" s="36">
        <v>46042</v>
      </c>
      <c r="H4" s="36">
        <v>46042</v>
      </c>
      <c r="I4" s="36">
        <v>45994</v>
      </c>
      <c r="J4" s="35">
        <f t="shared" ref="J4:J9" si="1">SUBTOTAL(9,L4:P4)</f>
        <v>0</v>
      </c>
      <c r="K4" s="35">
        <v>10</v>
      </c>
      <c r="L4" s="37">
        <v>600</v>
      </c>
      <c r="M4" s="37">
        <v>600</v>
      </c>
      <c r="N4" s="37">
        <v>600</v>
      </c>
      <c r="O4" s="37">
        <v>600</v>
      </c>
      <c r="P4" s="37">
        <v>600</v>
      </c>
      <c r="Q4" s="35" t="s">
        <v>809</v>
      </c>
      <c r="R4" s="45" t="s">
        <v>104</v>
      </c>
      <c r="S4" s="38" t="s">
        <v>4351</v>
      </c>
      <c r="T4" s="38" t="s">
        <v>4352</v>
      </c>
      <c r="U4" s="38" t="s">
        <v>4351</v>
      </c>
      <c r="V4" s="38" t="s">
        <v>4351</v>
      </c>
      <c r="W4" s="35" t="s">
        <v>905</v>
      </c>
      <c r="X4" s="35" t="s">
        <v>809</v>
      </c>
      <c r="Y4" s="35" t="s">
        <v>4353</v>
      </c>
      <c r="Z4" s="39">
        <v>46040</v>
      </c>
      <c r="AA4" s="39">
        <v>46042</v>
      </c>
      <c r="AB4" s="39"/>
      <c r="AC4" s="39">
        <v>46058</v>
      </c>
      <c r="AD4" s="40">
        <v>4504147612</v>
      </c>
      <c r="AE4" s="2" t="s">
        <v>4354</v>
      </c>
    </row>
    <row r="5" s="2" customFormat="1" ht="30" hidden="1" customHeight="1" spans="1:32">
      <c r="A5" s="34">
        <f t="shared" si="0"/>
        <v>2</v>
      </c>
      <c r="B5" s="35" t="s">
        <v>2890</v>
      </c>
      <c r="C5" s="35" t="s">
        <v>1674</v>
      </c>
      <c r="D5" s="35" t="s">
        <v>4355</v>
      </c>
      <c r="E5" s="35"/>
      <c r="F5" s="36">
        <v>45987</v>
      </c>
      <c r="G5" s="36">
        <v>46050</v>
      </c>
      <c r="H5" s="36">
        <v>46050</v>
      </c>
      <c r="I5" s="36">
        <v>46007</v>
      </c>
      <c r="J5" s="35">
        <f t="shared" si="1"/>
        <v>0</v>
      </c>
      <c r="K5" s="35">
        <v>10</v>
      </c>
      <c r="L5" s="37">
        <v>1000</v>
      </c>
      <c r="M5" s="37">
        <v>1000</v>
      </c>
      <c r="N5" s="37">
        <v>1000</v>
      </c>
      <c r="O5" s="37">
        <v>1000</v>
      </c>
      <c r="P5" s="37">
        <v>1000</v>
      </c>
      <c r="Q5" s="35" t="s">
        <v>4356</v>
      </c>
      <c r="R5" s="45" t="s">
        <v>104</v>
      </c>
      <c r="S5" s="38" t="s">
        <v>673</v>
      </c>
      <c r="T5" s="38" t="s">
        <v>4352</v>
      </c>
      <c r="U5" s="38" t="s">
        <v>105</v>
      </c>
      <c r="V5" s="38" t="s">
        <v>105</v>
      </c>
      <c r="W5" s="35" t="s">
        <v>720</v>
      </c>
      <c r="X5" s="35" t="s">
        <v>4356</v>
      </c>
      <c r="Y5" s="37" t="s">
        <v>4243</v>
      </c>
      <c r="Z5" s="39">
        <v>46048</v>
      </c>
      <c r="AA5" s="39">
        <v>46041</v>
      </c>
      <c r="AB5" s="57" t="s">
        <v>4357</v>
      </c>
      <c r="AC5" s="39">
        <v>46085</v>
      </c>
      <c r="AD5" s="40">
        <v>2557075</v>
      </c>
      <c r="AE5" s="2" t="s">
        <v>4358</v>
      </c>
    </row>
    <row r="6" s="2" customFormat="1" ht="30" hidden="1" customHeight="1" spans="1:32">
      <c r="A6" s="34">
        <f t="shared" si="0"/>
        <v>3</v>
      </c>
      <c r="B6" s="35" t="s">
        <v>2890</v>
      </c>
      <c r="C6" s="35" t="s">
        <v>1674</v>
      </c>
      <c r="D6" s="35" t="s">
        <v>4359</v>
      </c>
      <c r="E6" s="35" t="s">
        <v>4360</v>
      </c>
      <c r="F6" s="36">
        <v>45987</v>
      </c>
      <c r="G6" s="36">
        <v>46091</v>
      </c>
      <c r="H6" s="36">
        <v>46091</v>
      </c>
      <c r="I6" s="36">
        <v>46007</v>
      </c>
      <c r="J6" s="35">
        <f t="shared" si="1"/>
        <v>0</v>
      </c>
      <c r="K6" s="35">
        <v>10</v>
      </c>
      <c r="L6" s="37">
        <v>1200</v>
      </c>
      <c r="M6" s="37">
        <v>1200</v>
      </c>
      <c r="N6" s="37">
        <v>1200</v>
      </c>
      <c r="O6" s="37">
        <v>1200</v>
      </c>
      <c r="P6" s="37">
        <v>1200</v>
      </c>
      <c r="Q6" s="35" t="s">
        <v>4356</v>
      </c>
      <c r="R6" s="45" t="s">
        <v>104</v>
      </c>
      <c r="S6" s="38" t="s">
        <v>673</v>
      </c>
      <c r="T6" s="38" t="s">
        <v>4352</v>
      </c>
      <c r="U6" s="38" t="s">
        <v>105</v>
      </c>
      <c r="V6" s="38" t="s">
        <v>105</v>
      </c>
      <c r="W6" s="35" t="s">
        <v>720</v>
      </c>
      <c r="X6" s="35" t="s">
        <v>4356</v>
      </c>
      <c r="Y6" s="37" t="s">
        <v>4243</v>
      </c>
      <c r="Z6" s="39">
        <v>46089</v>
      </c>
      <c r="AA6" s="39">
        <v>46086</v>
      </c>
      <c r="AB6" s="39" t="s">
        <v>4361</v>
      </c>
      <c r="AC6" s="39">
        <v>46105</v>
      </c>
      <c r="AD6" s="40">
        <v>2557098</v>
      </c>
      <c r="AE6" s="2" t="s">
        <v>4358</v>
      </c>
    </row>
    <row r="7" s="2" customFormat="1" ht="30" hidden="1" customHeight="1" spans="1:32">
      <c r="A7" s="34">
        <f t="shared" si="0"/>
        <v>4</v>
      </c>
      <c r="B7" s="35" t="s">
        <v>270</v>
      </c>
      <c r="C7" s="35" t="s">
        <v>271</v>
      </c>
      <c r="D7" s="35" t="s">
        <v>4362</v>
      </c>
      <c r="E7" s="35" t="s">
        <v>4363</v>
      </c>
      <c r="F7" s="36">
        <v>46006</v>
      </c>
      <c r="G7" s="36">
        <v>46090</v>
      </c>
      <c r="H7" s="36">
        <v>46090</v>
      </c>
      <c r="I7" s="36">
        <v>46038</v>
      </c>
      <c r="J7" s="35">
        <f t="shared" si="1"/>
        <v>0</v>
      </c>
      <c r="K7" s="35">
        <v>10</v>
      </c>
      <c r="L7" s="37">
        <v>300</v>
      </c>
      <c r="M7" s="37">
        <v>300</v>
      </c>
      <c r="N7" s="37">
        <v>300</v>
      </c>
      <c r="O7" s="37">
        <v>300</v>
      </c>
      <c r="P7" s="37">
        <v>300</v>
      </c>
      <c r="Q7" s="35" t="s">
        <v>4364</v>
      </c>
      <c r="R7" s="45" t="s">
        <v>104</v>
      </c>
      <c r="S7" s="38" t="s">
        <v>4365</v>
      </c>
      <c r="T7" s="38" t="s">
        <v>4352</v>
      </c>
      <c r="U7" s="38" t="s">
        <v>4365</v>
      </c>
      <c r="V7" s="38" t="s">
        <v>105</v>
      </c>
      <c r="W7" s="35" t="s">
        <v>2099</v>
      </c>
      <c r="X7" s="35" t="s">
        <v>4364</v>
      </c>
      <c r="Y7" s="35" t="s">
        <v>4366</v>
      </c>
      <c r="Z7" s="39">
        <v>46088</v>
      </c>
      <c r="AA7" s="44">
        <v>46114</v>
      </c>
      <c r="AB7" s="39"/>
      <c r="AC7" s="39">
        <v>46155</v>
      </c>
      <c r="AD7" s="40" t="s">
        <v>4367</v>
      </c>
      <c r="AE7" s="2" t="s">
        <v>4358</v>
      </c>
    </row>
    <row r="8" s="2" customFormat="1" ht="30" hidden="1" customHeight="1" spans="1:32">
      <c r="A8" s="34">
        <f t="shared" si="0"/>
        <v>5</v>
      </c>
      <c r="B8" s="35" t="s">
        <v>270</v>
      </c>
      <c r="C8" s="35" t="s">
        <v>271</v>
      </c>
      <c r="D8" s="35" t="s">
        <v>4368</v>
      </c>
      <c r="E8" s="35" t="s">
        <v>4369</v>
      </c>
      <c r="F8" s="36">
        <v>46006</v>
      </c>
      <c r="G8" s="36">
        <v>46088</v>
      </c>
      <c r="H8" s="36">
        <v>46088</v>
      </c>
      <c r="I8" s="36">
        <v>46087</v>
      </c>
      <c r="J8" s="35">
        <f t="shared" si="1"/>
        <v>0</v>
      </c>
      <c r="K8" s="35">
        <v>10</v>
      </c>
      <c r="L8" s="37">
        <v>200</v>
      </c>
      <c r="M8" s="37">
        <v>200</v>
      </c>
      <c r="N8" s="37">
        <v>200</v>
      </c>
      <c r="O8" s="37">
        <v>200</v>
      </c>
      <c r="P8" s="37">
        <v>200</v>
      </c>
      <c r="Q8" s="35" t="s">
        <v>4364</v>
      </c>
      <c r="R8" s="45" t="s">
        <v>104</v>
      </c>
      <c r="S8" s="38" t="s">
        <v>4365</v>
      </c>
      <c r="T8" s="38" t="s">
        <v>4352</v>
      </c>
      <c r="U8" s="38" t="s">
        <v>4365</v>
      </c>
      <c r="V8" s="38" t="s">
        <v>105</v>
      </c>
      <c r="W8" s="35" t="s">
        <v>4370</v>
      </c>
      <c r="X8" s="35" t="s">
        <v>4364</v>
      </c>
      <c r="Y8" s="35" t="s">
        <v>4366</v>
      </c>
      <c r="Z8" s="39">
        <v>46086</v>
      </c>
      <c r="AA8" s="44">
        <v>46114</v>
      </c>
      <c r="AB8" s="39"/>
      <c r="AC8" s="39">
        <v>46155</v>
      </c>
      <c r="AD8" s="40" t="s">
        <v>4371</v>
      </c>
      <c r="AE8" s="2" t="s">
        <v>4358</v>
      </c>
    </row>
    <row r="9" s="2" customFormat="1" ht="30" hidden="1" customHeight="1" spans="1:32">
      <c r="A9" s="34">
        <f t="shared" si="0"/>
        <v>6</v>
      </c>
      <c r="B9" s="35" t="s">
        <v>2890</v>
      </c>
      <c r="C9" s="35" t="s">
        <v>1674</v>
      </c>
      <c r="D9" s="35" t="s">
        <v>4372</v>
      </c>
      <c r="E9" s="35" t="s">
        <v>4373</v>
      </c>
      <c r="F9" s="36">
        <v>45987</v>
      </c>
      <c r="G9" s="36">
        <v>46119</v>
      </c>
      <c r="H9" s="36">
        <v>46119</v>
      </c>
      <c r="I9" s="36">
        <v>46007</v>
      </c>
      <c r="J9" s="35">
        <f t="shared" si="1"/>
        <v>0</v>
      </c>
      <c r="K9" s="35">
        <v>10</v>
      </c>
      <c r="L9" s="37">
        <v>1400</v>
      </c>
      <c r="M9" s="37">
        <v>1400</v>
      </c>
      <c r="N9" s="37">
        <v>1400</v>
      </c>
      <c r="O9" s="37">
        <v>1400</v>
      </c>
      <c r="P9" s="37">
        <v>1400</v>
      </c>
      <c r="Q9" s="35" t="s">
        <v>4364</v>
      </c>
      <c r="R9" s="45" t="s">
        <v>104</v>
      </c>
      <c r="S9" s="38" t="s">
        <v>673</v>
      </c>
      <c r="T9" s="38" t="s">
        <v>4352</v>
      </c>
      <c r="U9" s="38" t="s">
        <v>105</v>
      </c>
      <c r="V9" s="38" t="s">
        <v>105</v>
      </c>
      <c r="W9" s="35" t="s">
        <v>1036</v>
      </c>
      <c r="X9" s="35" t="s">
        <v>4364</v>
      </c>
      <c r="Y9" s="37" t="s">
        <v>4243</v>
      </c>
      <c r="Z9" s="39">
        <v>46117</v>
      </c>
      <c r="AA9" s="44">
        <v>46113</v>
      </c>
      <c r="AB9" s="39" t="s">
        <v>4374</v>
      </c>
      <c r="AC9" s="39">
        <v>46134</v>
      </c>
      <c r="AD9" s="40">
        <v>2557103</v>
      </c>
      <c r="AE9" s="2" t="s">
        <v>4358</v>
      </c>
    </row>
    <row r="10" s="2" customFormat="1" ht="27.75" hidden="1" customHeight="1" spans="1:32">
      <c r="A10" s="34">
        <f t="shared" si="0"/>
        <v>7</v>
      </c>
      <c r="B10" s="35" t="s">
        <v>2890</v>
      </c>
      <c r="C10" s="35" t="s">
        <v>1674</v>
      </c>
      <c r="D10" s="35" t="s">
        <v>4375</v>
      </c>
      <c r="E10" s="35" t="s">
        <v>4376</v>
      </c>
      <c r="F10" s="36">
        <v>46041</v>
      </c>
      <c r="G10" s="36">
        <v>46126</v>
      </c>
      <c r="H10" s="36">
        <v>46126</v>
      </c>
      <c r="I10" s="36">
        <v>46059</v>
      </c>
      <c r="J10" s="35">
        <v>15000</v>
      </c>
      <c r="K10" s="35">
        <v>10</v>
      </c>
      <c r="L10" s="35">
        <v>3000</v>
      </c>
      <c r="M10" s="35">
        <v>3000</v>
      </c>
      <c r="N10" s="35">
        <v>3000</v>
      </c>
      <c r="O10" s="35">
        <v>3000</v>
      </c>
      <c r="P10" s="35">
        <v>3000</v>
      </c>
      <c r="Q10" s="35" t="s">
        <v>127</v>
      </c>
      <c r="R10" s="45" t="s">
        <v>104</v>
      </c>
      <c r="S10" s="35" t="s">
        <v>730</v>
      </c>
      <c r="T10" s="35" t="s">
        <v>4377</v>
      </c>
      <c r="U10" s="35" t="s">
        <v>730</v>
      </c>
      <c r="V10" s="38" t="s">
        <v>105</v>
      </c>
      <c r="W10" s="35" t="s">
        <v>730</v>
      </c>
      <c r="X10" s="35" t="s">
        <v>127</v>
      </c>
      <c r="Y10" s="35" t="s">
        <v>4243</v>
      </c>
      <c r="Z10" s="39">
        <v>46126</v>
      </c>
      <c r="AA10" s="44">
        <v>46121</v>
      </c>
      <c r="AB10" s="39">
        <v>46142</v>
      </c>
      <c r="AC10" s="39" t="s">
        <v>4378</v>
      </c>
      <c r="AD10" s="40">
        <v>2581426</v>
      </c>
      <c r="AE10" s="2" t="s">
        <v>4354</v>
      </c>
      <c r="AF10" s="2" t="s">
        <v>1607</v>
      </c>
    </row>
    <row r="11" s="2" customFormat="1" ht="27.75" hidden="1" customHeight="1" spans="1:32">
      <c r="A11" s="34">
        <f t="shared" si="0"/>
        <v>8</v>
      </c>
      <c r="B11" s="35" t="s">
        <v>4311</v>
      </c>
      <c r="C11" s="35" t="s">
        <v>1945</v>
      </c>
      <c r="D11" s="35" t="s">
        <v>4312</v>
      </c>
      <c r="E11" s="35" t="s">
        <v>4313</v>
      </c>
      <c r="F11" s="36">
        <v>46092</v>
      </c>
      <c r="G11" s="36">
        <v>46174</v>
      </c>
      <c r="H11" s="36">
        <v>46174</v>
      </c>
      <c r="I11" s="36">
        <v>46140</v>
      </c>
      <c r="J11" s="35">
        <f t="shared" ref="J11:J22" si="2">SUBTOTAL(9,L11:P11)</f>
        <v>0</v>
      </c>
      <c r="K11" s="35">
        <v>10</v>
      </c>
      <c r="L11" s="37">
        <v>990</v>
      </c>
      <c r="M11" s="37">
        <v>990</v>
      </c>
      <c r="N11" s="37">
        <v>990</v>
      </c>
      <c r="O11" s="37">
        <v>990</v>
      </c>
      <c r="P11" s="37">
        <v>990</v>
      </c>
      <c r="Q11" s="35" t="s">
        <v>499</v>
      </c>
      <c r="R11" s="45" t="s">
        <v>104</v>
      </c>
      <c r="S11" s="38" t="s">
        <v>501</v>
      </c>
      <c r="T11" s="38" t="s">
        <v>501</v>
      </c>
      <c r="U11" s="38" t="s">
        <v>501</v>
      </c>
      <c r="V11" s="38" t="s">
        <v>1184</v>
      </c>
      <c r="W11" s="35" t="s">
        <v>744</v>
      </c>
      <c r="X11" s="35" t="s">
        <v>499</v>
      </c>
      <c r="Y11" s="37" t="s">
        <v>4314</v>
      </c>
      <c r="Z11" s="39">
        <v>46174</v>
      </c>
      <c r="AA11" s="44">
        <v>46177</v>
      </c>
      <c r="AB11" s="39"/>
      <c r="AC11" s="39">
        <v>46200</v>
      </c>
      <c r="AD11" s="40">
        <v>875102</v>
      </c>
      <c r="AE11" s="41" t="s">
        <v>4354</v>
      </c>
      <c r="AF11" s="2" t="s">
        <v>1610</v>
      </c>
    </row>
    <row r="12" s="2" customFormat="1" ht="27.75" hidden="1" customHeight="1" spans="1:32">
      <c r="A12" s="34">
        <f t="shared" si="0"/>
        <v>9</v>
      </c>
      <c r="B12" s="35" t="s">
        <v>4311</v>
      </c>
      <c r="C12" s="35" t="s">
        <v>1945</v>
      </c>
      <c r="D12" s="35" t="s">
        <v>4315</v>
      </c>
      <c r="E12" s="35" t="s">
        <v>4316</v>
      </c>
      <c r="F12" s="36">
        <v>46092</v>
      </c>
      <c r="G12" s="36">
        <v>46174</v>
      </c>
      <c r="H12" s="36">
        <v>46174</v>
      </c>
      <c r="I12" s="36">
        <v>46140</v>
      </c>
      <c r="J12" s="35">
        <f t="shared" si="2"/>
        <v>0</v>
      </c>
      <c r="K12" s="35">
        <v>10</v>
      </c>
      <c r="L12" s="37">
        <v>1066</v>
      </c>
      <c r="M12" s="37">
        <v>1066</v>
      </c>
      <c r="N12" s="37">
        <v>1066</v>
      </c>
      <c r="O12" s="37">
        <v>1066</v>
      </c>
      <c r="P12" s="37">
        <v>1066</v>
      </c>
      <c r="Q12" s="35" t="s">
        <v>499</v>
      </c>
      <c r="R12" s="45" t="s">
        <v>104</v>
      </c>
      <c r="S12" s="38" t="s">
        <v>501</v>
      </c>
      <c r="T12" s="38" t="s">
        <v>501</v>
      </c>
      <c r="U12" s="38" t="s">
        <v>501</v>
      </c>
      <c r="V12" s="38" t="s">
        <v>1184</v>
      </c>
      <c r="W12" s="35" t="s">
        <v>744</v>
      </c>
      <c r="X12" s="35" t="s">
        <v>499</v>
      </c>
      <c r="Y12" s="37" t="s">
        <v>4314</v>
      </c>
      <c r="Z12" s="39">
        <v>46174</v>
      </c>
      <c r="AA12" s="44">
        <v>46177</v>
      </c>
      <c r="AB12" s="39"/>
      <c r="AC12" s="39">
        <v>46200</v>
      </c>
      <c r="AD12" s="40">
        <v>875100</v>
      </c>
      <c r="AE12" s="41" t="s">
        <v>4354</v>
      </c>
      <c r="AF12" s="2" t="s">
        <v>1610</v>
      </c>
    </row>
    <row r="13" s="2" customFormat="1" ht="27.75" hidden="1" customHeight="1" spans="1:32">
      <c r="A13" s="34">
        <f t="shared" si="0"/>
        <v>10</v>
      </c>
      <c r="B13" s="35" t="s">
        <v>4311</v>
      </c>
      <c r="C13" s="35" t="s">
        <v>1945</v>
      </c>
      <c r="D13" s="35" t="s">
        <v>4317</v>
      </c>
      <c r="E13" s="35" t="s">
        <v>4318</v>
      </c>
      <c r="F13" s="36">
        <v>46092</v>
      </c>
      <c r="G13" s="36">
        <v>46174</v>
      </c>
      <c r="H13" s="36">
        <v>46174</v>
      </c>
      <c r="I13" s="36">
        <v>46140</v>
      </c>
      <c r="J13" s="35">
        <f t="shared" si="2"/>
        <v>0</v>
      </c>
      <c r="K13" s="35">
        <v>10</v>
      </c>
      <c r="L13" s="37">
        <v>946</v>
      </c>
      <c r="M13" s="37">
        <v>946</v>
      </c>
      <c r="N13" s="37">
        <v>946</v>
      </c>
      <c r="O13" s="37">
        <v>946</v>
      </c>
      <c r="P13" s="37">
        <v>946</v>
      </c>
      <c r="Q13" s="35" t="s">
        <v>499</v>
      </c>
      <c r="R13" s="45" t="s">
        <v>104</v>
      </c>
      <c r="S13" s="38" t="s">
        <v>501</v>
      </c>
      <c r="T13" s="38" t="s">
        <v>501</v>
      </c>
      <c r="U13" s="38" t="s">
        <v>501</v>
      </c>
      <c r="V13" s="38" t="s">
        <v>1184</v>
      </c>
      <c r="W13" s="35" t="s">
        <v>744</v>
      </c>
      <c r="X13" s="35" t="s">
        <v>499</v>
      </c>
      <c r="Y13" s="37" t="s">
        <v>4314</v>
      </c>
      <c r="Z13" s="39">
        <v>46174</v>
      </c>
      <c r="AA13" s="44">
        <v>46177</v>
      </c>
      <c r="AB13" s="39"/>
      <c r="AC13" s="39">
        <v>46217</v>
      </c>
      <c r="AD13" s="35">
        <v>875099</v>
      </c>
      <c r="AE13" s="41" t="s">
        <v>4354</v>
      </c>
      <c r="AF13" s="2" t="s">
        <v>1610</v>
      </c>
    </row>
    <row r="14" s="2" customFormat="1" ht="27.75" hidden="1" customHeight="1" spans="1:32">
      <c r="A14" s="34">
        <f t="shared" si="0"/>
        <v>11</v>
      </c>
      <c r="B14" s="35" t="s">
        <v>420</v>
      </c>
      <c r="C14" s="35" t="s">
        <v>421</v>
      </c>
      <c r="D14" s="37" t="s">
        <v>4230</v>
      </c>
      <c r="E14" s="35" t="s">
        <v>4231</v>
      </c>
      <c r="F14" s="36">
        <v>46113</v>
      </c>
      <c r="G14" s="36">
        <v>46183</v>
      </c>
      <c r="H14" s="36">
        <v>46183</v>
      </c>
      <c r="I14" s="36">
        <v>46136</v>
      </c>
      <c r="J14" s="35">
        <f t="shared" si="2"/>
        <v>0</v>
      </c>
      <c r="K14" s="35">
        <v>10</v>
      </c>
      <c r="L14" s="37">
        <v>400</v>
      </c>
      <c r="M14" s="37">
        <v>400</v>
      </c>
      <c r="N14" s="37">
        <v>400</v>
      </c>
      <c r="O14" s="37">
        <v>400</v>
      </c>
      <c r="P14" s="37">
        <v>400</v>
      </c>
      <c r="Q14" s="35" t="s">
        <v>499</v>
      </c>
      <c r="R14" s="45" t="s">
        <v>196</v>
      </c>
      <c r="S14" s="38" t="s">
        <v>501</v>
      </c>
      <c r="T14" s="38" t="s">
        <v>501</v>
      </c>
      <c r="U14" s="38" t="s">
        <v>501</v>
      </c>
      <c r="V14" s="38" t="s">
        <v>1184</v>
      </c>
      <c r="W14" s="35" t="s">
        <v>1072</v>
      </c>
      <c r="X14" s="35" t="s">
        <v>499</v>
      </c>
      <c r="Y14" s="37" t="s">
        <v>4232</v>
      </c>
      <c r="Z14" s="39">
        <v>46183</v>
      </c>
      <c r="AA14" s="57">
        <v>46190</v>
      </c>
      <c r="AB14" s="39"/>
      <c r="AC14" s="39">
        <v>46196</v>
      </c>
      <c r="AD14" s="40" t="s">
        <v>4233</v>
      </c>
      <c r="AE14" s="41" t="s">
        <v>4379</v>
      </c>
      <c r="AF14" s="2" t="s">
        <v>3235</v>
      </c>
    </row>
    <row r="15" s="2" customFormat="1" ht="27.75" hidden="1" customHeight="1" spans="1:32">
      <c r="A15" s="34">
        <f t="shared" si="0"/>
        <v>12</v>
      </c>
      <c r="B15" s="35" t="s">
        <v>420</v>
      </c>
      <c r="C15" s="35" t="s">
        <v>421</v>
      </c>
      <c r="D15" s="37" t="s">
        <v>4234</v>
      </c>
      <c r="E15" s="35" t="s">
        <v>4235</v>
      </c>
      <c r="F15" s="36">
        <v>46113</v>
      </c>
      <c r="G15" s="36">
        <v>46192</v>
      </c>
      <c r="H15" s="36">
        <v>46192</v>
      </c>
      <c r="I15" s="36">
        <v>46136</v>
      </c>
      <c r="J15" s="35">
        <f t="shared" si="2"/>
        <v>0</v>
      </c>
      <c r="K15" s="35">
        <v>10</v>
      </c>
      <c r="L15" s="37">
        <v>3600</v>
      </c>
      <c r="M15" s="37">
        <v>3600</v>
      </c>
      <c r="N15" s="37">
        <v>3600</v>
      </c>
      <c r="O15" s="37">
        <v>3600</v>
      </c>
      <c r="P15" s="37">
        <v>3600</v>
      </c>
      <c r="Q15" s="35" t="s">
        <v>499</v>
      </c>
      <c r="R15" s="45" t="s">
        <v>196</v>
      </c>
      <c r="S15" s="38" t="s">
        <v>501</v>
      </c>
      <c r="T15" s="38" t="s">
        <v>501</v>
      </c>
      <c r="U15" s="38" t="s">
        <v>501</v>
      </c>
      <c r="V15" s="38" t="s">
        <v>1184</v>
      </c>
      <c r="W15" s="35" t="s">
        <v>1072</v>
      </c>
      <c r="X15" s="35" t="s">
        <v>499</v>
      </c>
      <c r="Y15" s="37" t="s">
        <v>4210</v>
      </c>
      <c r="Z15" s="39">
        <v>46192</v>
      </c>
      <c r="AA15" s="57">
        <v>46203</v>
      </c>
      <c r="AB15" s="39"/>
      <c r="AC15" s="39">
        <v>46217</v>
      </c>
      <c r="AD15" s="40" t="s">
        <v>4236</v>
      </c>
      <c r="AE15" s="41" t="s">
        <v>4379</v>
      </c>
      <c r="AF15" s="2" t="s">
        <v>3235</v>
      </c>
    </row>
    <row r="16" s="2" customFormat="1" ht="27.75" hidden="1" customHeight="1" spans="1:32">
      <c r="A16" s="34">
        <f t="shared" si="0"/>
        <v>13</v>
      </c>
      <c r="B16" s="35" t="s">
        <v>4237</v>
      </c>
      <c r="C16" s="35" t="s">
        <v>114</v>
      </c>
      <c r="D16" s="37" t="s">
        <v>4238</v>
      </c>
      <c r="E16" s="35" t="s">
        <v>4239</v>
      </c>
      <c r="F16" s="36">
        <v>46101</v>
      </c>
      <c r="G16" s="36">
        <v>46197</v>
      </c>
      <c r="H16" s="36">
        <v>46197</v>
      </c>
      <c r="I16" s="36">
        <v>46135</v>
      </c>
      <c r="J16" s="35">
        <f t="shared" si="2"/>
        <v>0</v>
      </c>
      <c r="K16" s="35">
        <v>10</v>
      </c>
      <c r="L16" s="37">
        <v>600</v>
      </c>
      <c r="M16" s="37">
        <v>600</v>
      </c>
      <c r="N16" s="37">
        <v>600</v>
      </c>
      <c r="O16" s="37">
        <v>600</v>
      </c>
      <c r="P16" s="37">
        <v>600</v>
      </c>
      <c r="Q16" s="35" t="s">
        <v>1749</v>
      </c>
      <c r="R16" s="45" t="s">
        <v>104</v>
      </c>
      <c r="S16" s="38" t="s">
        <v>526</v>
      </c>
      <c r="T16" s="38" t="s">
        <v>526</v>
      </c>
      <c r="U16" s="38" t="s">
        <v>526</v>
      </c>
      <c r="V16" s="38" t="s">
        <v>1875</v>
      </c>
      <c r="W16" s="35" t="s">
        <v>526</v>
      </c>
      <c r="X16" s="35" t="s">
        <v>1749</v>
      </c>
      <c r="Y16" s="37" t="s">
        <v>4240</v>
      </c>
      <c r="Z16" s="39">
        <v>46197</v>
      </c>
      <c r="AA16" s="57">
        <v>46199</v>
      </c>
      <c r="AB16" s="39"/>
      <c r="AC16" s="39">
        <v>46218</v>
      </c>
      <c r="AD16" s="40">
        <v>4504222790</v>
      </c>
      <c r="AE16" s="41" t="s">
        <v>4354</v>
      </c>
      <c r="AF16" s="2" t="s">
        <v>3235</v>
      </c>
    </row>
    <row r="17" s="2" customFormat="1" ht="27.75" hidden="1" customHeight="1" spans="1:32">
      <c r="A17" s="34">
        <f t="shared" si="0"/>
        <v>14</v>
      </c>
      <c r="B17" s="37" t="s">
        <v>4271</v>
      </c>
      <c r="C17" s="37" t="s">
        <v>114</v>
      </c>
      <c r="D17" s="37" t="s">
        <v>4272</v>
      </c>
      <c r="E17" s="37" t="s">
        <v>4273</v>
      </c>
      <c r="F17" s="36">
        <v>46132</v>
      </c>
      <c r="G17" s="36">
        <v>46205</v>
      </c>
      <c r="H17" s="36">
        <v>46205</v>
      </c>
      <c r="I17" s="36">
        <v>46185</v>
      </c>
      <c r="J17" s="35">
        <f t="shared" si="2"/>
        <v>0</v>
      </c>
      <c r="K17" s="35">
        <v>10</v>
      </c>
      <c r="L17" s="37">
        <v>1000</v>
      </c>
      <c r="M17" s="37">
        <v>1000</v>
      </c>
      <c r="N17" s="37">
        <v>1000</v>
      </c>
      <c r="O17" s="37">
        <v>1000</v>
      </c>
      <c r="P17" s="37">
        <v>1000</v>
      </c>
      <c r="Q17" s="35" t="s">
        <v>1749</v>
      </c>
      <c r="R17" s="45" t="s">
        <v>104</v>
      </c>
      <c r="S17" s="38" t="s">
        <v>526</v>
      </c>
      <c r="T17" s="38" t="s">
        <v>526</v>
      </c>
      <c r="U17" s="38" t="s">
        <v>526</v>
      </c>
      <c r="V17" s="38" t="s">
        <v>1875</v>
      </c>
      <c r="W17" s="35" t="s">
        <v>933</v>
      </c>
      <c r="X17" s="35" t="s">
        <v>1749</v>
      </c>
      <c r="Y17" s="35" t="s">
        <v>4250</v>
      </c>
      <c r="Z17" s="39">
        <v>46213</v>
      </c>
      <c r="AA17" s="39">
        <v>46226</v>
      </c>
      <c r="AB17" s="39"/>
      <c r="AC17" s="39">
        <v>46235</v>
      </c>
      <c r="AD17" s="40" t="s">
        <v>4274</v>
      </c>
      <c r="AE17" s="41" t="s">
        <v>4354</v>
      </c>
      <c r="AF17" s="2" t="s">
        <v>2533</v>
      </c>
    </row>
    <row r="18" s="2" customFormat="1" ht="27.75" customHeight="1" spans="1:32">
      <c r="A18" s="34">
        <f t="shared" si="0"/>
        <v>15</v>
      </c>
      <c r="B18" s="37" t="s">
        <v>420</v>
      </c>
      <c r="C18" s="37" t="s">
        <v>421</v>
      </c>
      <c r="D18" s="35" t="s">
        <v>4380</v>
      </c>
      <c r="E18" s="35" t="s">
        <v>4381</v>
      </c>
      <c r="F18" s="36">
        <v>46148</v>
      </c>
      <c r="G18" s="36">
        <v>46269</v>
      </c>
      <c r="H18" s="36">
        <v>46269</v>
      </c>
      <c r="I18" s="36">
        <v>46237</v>
      </c>
      <c r="J18" s="35">
        <f t="shared" si="2"/>
        <v>12500</v>
      </c>
      <c r="K18" s="35">
        <v>10</v>
      </c>
      <c r="L18" s="35">
        <v>2500</v>
      </c>
      <c r="M18" s="35">
        <v>2500</v>
      </c>
      <c r="N18" s="35">
        <v>2500</v>
      </c>
      <c r="O18" s="35">
        <v>2500</v>
      </c>
      <c r="P18" s="35">
        <v>2500</v>
      </c>
      <c r="Q18" s="35" t="s">
        <v>1444</v>
      </c>
      <c r="R18" s="45" t="s">
        <v>196</v>
      </c>
      <c r="S18" s="38" t="s">
        <v>4176</v>
      </c>
      <c r="T18" s="38" t="s">
        <v>4176</v>
      </c>
      <c r="U18" s="38" t="s">
        <v>4176</v>
      </c>
      <c r="V18" s="35" t="s">
        <v>1660</v>
      </c>
      <c r="W18" s="35" t="s">
        <v>1660</v>
      </c>
      <c r="X18" s="35" t="s">
        <v>1444</v>
      </c>
      <c r="Y18" s="35" t="s">
        <v>4332</v>
      </c>
      <c r="Z18" s="39">
        <v>46269</v>
      </c>
      <c r="AA18" s="39">
        <v>46276</v>
      </c>
      <c r="AB18" s="39"/>
      <c r="AC18" s="39"/>
      <c r="AD18" s="40" t="s">
        <v>4382</v>
      </c>
      <c r="AE18" s="41" t="s">
        <v>4379</v>
      </c>
      <c r="AF18" s="2" t="s">
        <v>1782</v>
      </c>
    </row>
    <row r="19" s="2" customFormat="1" ht="27.75" customHeight="1" spans="1:32">
      <c r="A19" s="59">
        <f t="shared" si="0"/>
        <v>16</v>
      </c>
      <c r="B19" s="66" t="s">
        <v>420</v>
      </c>
      <c r="C19" s="66" t="s">
        <v>421</v>
      </c>
      <c r="D19" s="60" t="s">
        <v>4383</v>
      </c>
      <c r="E19" s="60" t="s">
        <v>4384</v>
      </c>
      <c r="F19" s="61">
        <v>46148</v>
      </c>
      <c r="G19" s="61">
        <v>46283</v>
      </c>
      <c r="H19" s="61">
        <v>46283</v>
      </c>
      <c r="I19" s="61">
        <v>46237</v>
      </c>
      <c r="J19" s="60">
        <f t="shared" si="2"/>
        <v>7500</v>
      </c>
      <c r="K19" s="60">
        <v>10</v>
      </c>
      <c r="L19" s="62">
        <v>1500</v>
      </c>
      <c r="M19" s="62">
        <v>1500</v>
      </c>
      <c r="N19" s="62">
        <v>1500</v>
      </c>
      <c r="O19" s="62">
        <v>1500</v>
      </c>
      <c r="P19" s="62">
        <v>1500</v>
      </c>
      <c r="Q19" s="63" t="s">
        <v>1444</v>
      </c>
      <c r="R19" s="64" t="s">
        <v>196</v>
      </c>
      <c r="S19" s="65" t="s">
        <v>4176</v>
      </c>
      <c r="T19" s="65" t="s">
        <v>4176</v>
      </c>
      <c r="U19" s="65" t="s">
        <v>4176</v>
      </c>
      <c r="V19" s="60" t="s">
        <v>1660</v>
      </c>
      <c r="W19" s="60" t="s">
        <v>1660</v>
      </c>
      <c r="X19" s="60" t="s">
        <v>1444</v>
      </c>
      <c r="Y19" s="60" t="s">
        <v>4332</v>
      </c>
      <c r="Z19" s="67">
        <v>46283</v>
      </c>
      <c r="AA19" s="68"/>
      <c r="AB19" s="68"/>
      <c r="AC19" s="68"/>
      <c r="AD19" s="70" t="s">
        <v>4385</v>
      </c>
      <c r="AE19" s="41" t="s">
        <v>4379</v>
      </c>
      <c r="AF19" s="2" t="s">
        <v>1802</v>
      </c>
    </row>
    <row r="20" s="2" customFormat="1" ht="27.75" customHeight="1" spans="1:32">
      <c r="A20" s="59">
        <f t="shared" si="0"/>
        <v>17</v>
      </c>
      <c r="B20" s="66" t="s">
        <v>420</v>
      </c>
      <c r="C20" s="66" t="s">
        <v>421</v>
      </c>
      <c r="D20" s="60" t="s">
        <v>4386</v>
      </c>
      <c r="E20" s="60" t="s">
        <v>4387</v>
      </c>
      <c r="F20" s="61">
        <v>46148</v>
      </c>
      <c r="G20" s="61">
        <v>46289</v>
      </c>
      <c r="H20" s="61">
        <v>46289</v>
      </c>
      <c r="I20" s="61">
        <v>46237</v>
      </c>
      <c r="J20" s="60">
        <f t="shared" si="2"/>
        <v>5000</v>
      </c>
      <c r="K20" s="60">
        <v>10</v>
      </c>
      <c r="L20" s="62">
        <v>1000</v>
      </c>
      <c r="M20" s="62">
        <v>1000</v>
      </c>
      <c r="N20" s="62">
        <v>1000</v>
      </c>
      <c r="O20" s="62">
        <v>1000</v>
      </c>
      <c r="P20" s="62">
        <v>1000</v>
      </c>
      <c r="Q20" s="63" t="s">
        <v>1444</v>
      </c>
      <c r="R20" s="64" t="s">
        <v>196</v>
      </c>
      <c r="S20" s="65" t="s">
        <v>4176</v>
      </c>
      <c r="T20" s="65" t="s">
        <v>4176</v>
      </c>
      <c r="U20" s="65" t="s">
        <v>4176</v>
      </c>
      <c r="V20" s="60" t="s">
        <v>1660</v>
      </c>
      <c r="W20" s="60" t="s">
        <v>1660</v>
      </c>
      <c r="X20" s="60" t="s">
        <v>1444</v>
      </c>
      <c r="Y20" s="60" t="s">
        <v>4332</v>
      </c>
      <c r="Z20" s="67">
        <v>46289</v>
      </c>
      <c r="AA20" s="68"/>
      <c r="AB20" s="68"/>
      <c r="AC20" s="68"/>
      <c r="AD20" s="70" t="s">
        <v>4388</v>
      </c>
      <c r="AE20" s="41" t="s">
        <v>4379</v>
      </c>
      <c r="AF20" s="2" t="s">
        <v>1802</v>
      </c>
    </row>
    <row r="21" s="2" customFormat="1" ht="27.75" customHeight="1" spans="1:32">
      <c r="A21" s="59">
        <f t="shared" si="0"/>
        <v>18</v>
      </c>
      <c r="B21" s="90" t="s">
        <v>420</v>
      </c>
      <c r="C21" s="90" t="s">
        <v>421</v>
      </c>
      <c r="D21" s="91" t="s">
        <v>4389</v>
      </c>
      <c r="E21" s="91"/>
      <c r="F21" s="92"/>
      <c r="G21" s="92"/>
      <c r="H21" s="92"/>
      <c r="I21" s="92"/>
      <c r="J21" s="91">
        <f t="shared" si="2"/>
        <v>6000</v>
      </c>
      <c r="K21" s="91">
        <v>10</v>
      </c>
      <c r="L21" s="62">
        <v>1200</v>
      </c>
      <c r="M21" s="62">
        <v>1200</v>
      </c>
      <c r="N21" s="62">
        <v>1200</v>
      </c>
      <c r="O21" s="62">
        <v>1200</v>
      </c>
      <c r="P21" s="62">
        <v>1200</v>
      </c>
      <c r="Q21" s="63"/>
      <c r="R21" s="64" t="s">
        <v>196</v>
      </c>
      <c r="S21" s="65"/>
      <c r="T21" s="65"/>
      <c r="U21" s="65"/>
      <c r="V21" s="60"/>
      <c r="W21" s="60"/>
      <c r="X21" s="60"/>
      <c r="Y21" s="60" t="s">
        <v>4332</v>
      </c>
      <c r="Z21" s="67"/>
      <c r="AA21" s="68"/>
      <c r="AB21" s="68"/>
      <c r="AC21" s="68"/>
      <c r="AD21" s="70" t="s">
        <v>4390</v>
      </c>
      <c r="AE21" s="41" t="s">
        <v>4379</v>
      </c>
    </row>
    <row r="22" s="2" customFormat="1" ht="27.75" customHeight="1" spans="1:32">
      <c r="A22" s="59">
        <f t="shared" si="0"/>
        <v>19</v>
      </c>
      <c r="B22" s="90" t="s">
        <v>420</v>
      </c>
      <c r="C22" s="90" t="s">
        <v>421</v>
      </c>
      <c r="D22" s="91" t="s">
        <v>4391</v>
      </c>
      <c r="E22" s="91"/>
      <c r="F22" s="92"/>
      <c r="G22" s="92"/>
      <c r="H22" s="92"/>
      <c r="I22" s="92"/>
      <c r="J22" s="91">
        <f t="shared" si="2"/>
        <v>1000</v>
      </c>
      <c r="K22" s="91">
        <v>10</v>
      </c>
      <c r="L22" s="62">
        <v>200</v>
      </c>
      <c r="M22" s="62">
        <v>200</v>
      </c>
      <c r="N22" s="62">
        <v>200</v>
      </c>
      <c r="O22" s="62">
        <v>200</v>
      </c>
      <c r="P22" s="62">
        <v>200</v>
      </c>
      <c r="Q22" s="63"/>
      <c r="R22" s="64" t="s">
        <v>196</v>
      </c>
      <c r="S22" s="65"/>
      <c r="T22" s="65"/>
      <c r="U22" s="65"/>
      <c r="V22" s="60"/>
      <c r="W22" s="60"/>
      <c r="X22" s="60"/>
      <c r="Y22" s="60" t="s">
        <v>4332</v>
      </c>
      <c r="Z22" s="67"/>
      <c r="AA22" s="68"/>
      <c r="AB22" s="68"/>
      <c r="AC22" s="68"/>
      <c r="AD22" s="70" t="s">
        <v>4392</v>
      </c>
      <c r="AE22" s="41" t="s">
        <v>4379</v>
      </c>
    </row>
    <row r="23" s="2" customFormat="1" ht="27.75" customHeight="1" spans="1:32">
      <c r="A23" s="59">
        <f t="shared" si="0"/>
        <v>20</v>
      </c>
      <c r="B23" s="66"/>
      <c r="C23" s="66"/>
      <c r="D23" s="60"/>
      <c r="E23" s="60"/>
      <c r="F23" s="61"/>
      <c r="G23" s="61"/>
      <c r="H23" s="61"/>
      <c r="I23" s="61"/>
      <c r="J23" s="60"/>
      <c r="K23" s="60"/>
      <c r="L23" s="62"/>
      <c r="M23" s="62"/>
      <c r="N23" s="62"/>
      <c r="O23" s="62"/>
      <c r="P23" s="62"/>
      <c r="Q23" s="63"/>
      <c r="R23" s="64"/>
      <c r="S23" s="65"/>
      <c r="T23" s="65"/>
      <c r="U23" s="65"/>
      <c r="V23" s="60"/>
      <c r="W23" s="60"/>
      <c r="X23" s="60"/>
      <c r="Y23" s="60"/>
      <c r="Z23" s="67"/>
      <c r="AA23" s="68"/>
      <c r="AB23" s="68"/>
      <c r="AC23" s="68"/>
      <c r="AD23" s="70"/>
      <c r="AE23" s="41"/>
    </row>
    <row r="24" s="2" customFormat="1" ht="27.75" customHeight="1" spans="1:32">
      <c r="A24" s="59">
        <f t="shared" si="0"/>
        <v>21</v>
      </c>
      <c r="B24" s="66"/>
      <c r="C24" s="66"/>
      <c r="D24" s="60"/>
      <c r="E24" s="60"/>
      <c r="F24" s="61"/>
      <c r="G24" s="61"/>
      <c r="H24" s="61"/>
      <c r="I24" s="61"/>
      <c r="J24" s="60"/>
      <c r="K24" s="60"/>
      <c r="L24" s="62"/>
      <c r="M24" s="62"/>
      <c r="N24" s="62"/>
      <c r="O24" s="62"/>
      <c r="P24" s="62"/>
      <c r="Q24" s="63"/>
      <c r="R24" s="64"/>
      <c r="S24" s="65"/>
      <c r="T24" s="65"/>
      <c r="U24" s="65"/>
      <c r="V24" s="60"/>
      <c r="W24" s="60"/>
      <c r="X24" s="60"/>
      <c r="Y24" s="60"/>
      <c r="Z24" s="67"/>
      <c r="AA24" s="68"/>
      <c r="AB24" s="68"/>
      <c r="AC24" s="68"/>
      <c r="AD24" s="70"/>
      <c r="AE24" s="41"/>
    </row>
    <row r="25" s="2" customFormat="1" ht="27.75" customHeight="1" spans="1:32">
      <c r="A25" s="59">
        <f t="shared" si="0"/>
        <v>22</v>
      </c>
      <c r="B25" s="66"/>
      <c r="C25" s="66"/>
      <c r="D25" s="60"/>
      <c r="E25" s="60"/>
      <c r="F25" s="61"/>
      <c r="G25" s="61"/>
      <c r="H25" s="61"/>
      <c r="I25" s="61"/>
      <c r="J25" s="60"/>
      <c r="K25" s="60"/>
      <c r="L25" s="62"/>
      <c r="M25" s="62"/>
      <c r="N25" s="62"/>
      <c r="O25" s="62"/>
      <c r="P25" s="62"/>
      <c r="Q25" s="63"/>
      <c r="R25" s="64"/>
      <c r="S25" s="65"/>
      <c r="T25" s="65"/>
      <c r="U25" s="65"/>
      <c r="V25" s="60"/>
      <c r="W25" s="60"/>
      <c r="X25" s="60"/>
      <c r="Y25" s="60"/>
      <c r="Z25" s="67"/>
      <c r="AA25" s="68"/>
      <c r="AB25" s="68"/>
      <c r="AC25" s="68"/>
      <c r="AD25" s="70"/>
      <c r="AE25" s="41"/>
    </row>
    <row r="26" s="3" customFormat="1" ht="17.1" customHeight="1" spans="1:32">
      <c r="A26" s="93" t="s">
        <v>66</v>
      </c>
      <c r="B26" s="94"/>
      <c r="C26" s="94"/>
      <c r="D26" s="94"/>
      <c r="E26" s="94"/>
      <c r="F26" s="94"/>
      <c r="G26" s="94"/>
      <c r="H26" s="94"/>
      <c r="I26" s="94"/>
      <c r="J26" s="95">
        <f>SUM(J4:J18)</f>
        <v>27500</v>
      </c>
      <c r="K26" s="95"/>
      <c r="L26" s="95">
        <f>SUM(L4:L25)</f>
        <v>22702</v>
      </c>
      <c r="M26" s="95">
        <f>SUM(M4:M25)</f>
        <v>22702</v>
      </c>
      <c r="N26" s="95">
        <f>SUM(N4:N25)</f>
        <v>22702</v>
      </c>
      <c r="O26" s="95">
        <f>SUM(O4:O25)</f>
        <v>22702</v>
      </c>
      <c r="P26" s="95">
        <f>SUM(P4:P25)</f>
        <v>22702</v>
      </c>
      <c r="Q26" s="96"/>
      <c r="R26" s="96"/>
      <c r="S26" s="96"/>
      <c r="T26" s="96"/>
      <c r="U26" s="96"/>
      <c r="V26" s="96"/>
      <c r="W26" s="96"/>
      <c r="X26" s="96"/>
      <c r="Y26" s="97"/>
      <c r="Z26" s="97"/>
      <c r="AA26" s="97"/>
      <c r="AB26" s="97"/>
      <c r="AC26" s="97"/>
      <c r="AD26" s="98"/>
    </row>
    <row r="27" s="4" customFormat="1" ht="17.1" customHeight="1" spans="1:32">
      <c r="A27" s="99"/>
      <c r="B27" s="100"/>
      <c r="C27" s="100"/>
      <c r="D27" s="100"/>
      <c r="E27" s="100"/>
      <c r="F27" s="100"/>
      <c r="G27" s="100"/>
      <c r="H27" s="100"/>
      <c r="I27" s="100"/>
      <c r="J27" s="133">
        <f>SUM(L27:P27)</f>
        <v>106510</v>
      </c>
      <c r="K27" s="100"/>
      <c r="L27" s="147">
        <f t="shared" ref="L27:P27" si="3">5000+2700+3002+4600+1000+2500+2500</f>
        <v>21302</v>
      </c>
      <c r="M27" s="147">
        <f t="shared" si="3"/>
        <v>21302</v>
      </c>
      <c r="N27" s="147">
        <f t="shared" si="3"/>
        <v>21302</v>
      </c>
      <c r="O27" s="147">
        <f t="shared" si="3"/>
        <v>21302</v>
      </c>
      <c r="P27" s="147">
        <f t="shared" si="3"/>
        <v>21302</v>
      </c>
      <c r="Q27" s="100"/>
      <c r="R27" s="100"/>
      <c r="S27" s="100"/>
      <c r="T27" s="100"/>
      <c r="U27" s="100"/>
      <c r="V27" s="100"/>
      <c r="W27" s="100"/>
      <c r="X27" s="100"/>
      <c r="Y27" s="100"/>
      <c r="Z27" s="101"/>
      <c r="AA27" s="101"/>
      <c r="AB27" s="101"/>
      <c r="AC27" s="101"/>
      <c r="AD27" s="102"/>
    </row>
    <row r="28" s="4" customFormat="1" ht="17.1" customHeight="1" spans="1:32">
      <c r="A28" s="103" t="s">
        <v>67</v>
      </c>
      <c r="B28" s="104"/>
      <c r="C28" s="104"/>
      <c r="D28" s="104"/>
      <c r="E28" s="104"/>
      <c r="F28" s="104"/>
      <c r="G28" s="104"/>
      <c r="H28" s="104"/>
      <c r="I28" s="104"/>
      <c r="J28" s="105">
        <f>SUM(L28:P28)</f>
        <v>-7000</v>
      </c>
      <c r="K28" s="104"/>
      <c r="L28" s="106">
        <f>L27-L26</f>
        <v>-1400</v>
      </c>
      <c r="M28" s="106">
        <f>M27-M26</f>
        <v>-1400</v>
      </c>
      <c r="N28" s="106">
        <f>N27-N26</f>
        <v>-1400</v>
      </c>
      <c r="O28" s="106">
        <f>O27-O26</f>
        <v>-1400</v>
      </c>
      <c r="P28" s="106">
        <f>P27-P26</f>
        <v>-1400</v>
      </c>
      <c r="Q28" s="107"/>
      <c r="R28" s="107"/>
      <c r="S28" s="107"/>
      <c r="T28" s="107"/>
      <c r="U28" s="107"/>
      <c r="V28" s="107"/>
      <c r="W28" s="107"/>
      <c r="X28" s="107"/>
      <c r="Y28" s="107"/>
      <c r="Z28" s="108"/>
      <c r="AA28" s="108"/>
      <c r="AB28" s="108"/>
      <c r="AC28" s="108"/>
      <c r="AD28" s="109"/>
    </row>
    <row r="29" customFormat="1" spans="1:32">
      <c r="B29" s="110" t="s">
        <v>68</v>
      </c>
      <c r="C29" s="110"/>
      <c r="D29" s="111"/>
      <c r="E29" s="111"/>
      <c r="F29" s="112"/>
      <c r="G29" s="112"/>
      <c r="H29" s="112"/>
      <c r="I29" s="112"/>
      <c r="Z29" s="113"/>
      <c r="AA29" s="113"/>
      <c r="AB29" s="113"/>
      <c r="AC29" s="114"/>
    </row>
  </sheetData>
  <autoFilter xmlns:etc="http://www.wps.cn/officeDocument/2017/etCustomData" ref="A3:AF29" etc:filterBottomFollowUsedRange="0">
    <filterColumn colId="28">
      <filters blank="1"/>
    </filterColumn>
    <extLst/>
  </autoFilter>
  <mergeCells count="32">
    <mergeCell ref="A1:Z1"/>
    <mergeCell ref="AA1:AB1"/>
    <mergeCell ref="AC1:AD1"/>
    <mergeCell ref="L2:P2"/>
    <mergeCell ref="A26:I26"/>
    <mergeCell ref="A27:I27"/>
    <mergeCell ref="A28:I2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28:P28">
    <cfRule type="cellIs" dxfId="0" priority="1" operator="lessThan">
      <formula>0</formula>
    </cfRule>
  </conditionalFormatting>
  <printOptions horizontalCentered="1"/>
  <pageMargins left="0.118055555555556" right="0.118055555555556" top="0.354166666666667" bottom="0.354166666666667" header="0.313888888888889" footer="0.313888888888889"/>
  <pageSetup paperSize="9" scale="57" orientation="landscape"/>
  <headerFooter/>
  <legacy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AF28"/>
  <sheetViews>
    <sheetView workbookViewId="0">
      <pane xSplit="11" ySplit="3" topLeftCell="N4" activePane="bottomRight" state="frozen"/>
      <selection/>
      <selection pane="topRight"/>
      <selection pane="bottomLeft"/>
      <selection pane="bottomRight" activeCell="V22" sqref="V22"/>
    </sheetView>
  </sheetViews>
  <sheetFormatPr defaultColWidth="9" defaultRowHeight="14.25"/>
  <cols>
    <col min="1" max="1" width="3.125" style="6" customWidth="1"/>
    <col min="2" max="2" width="7.375" style="6" customWidth="1"/>
    <col min="3" max="3" width="7" style="6" customWidth="1"/>
    <col min="4" max="4" width="12" style="6" customWidth="1"/>
    <col min="5" max="5" width="9.125" style="6" customWidth="1"/>
    <col min="6" max="9" width="5.125" style="7" customWidth="1"/>
    <col min="10" max="10" width="6.625" style="6" customWidth="1"/>
    <col min="11" max="11" width="4.875" style="6" customWidth="1"/>
    <col min="12" max="15" width="6.875" style="6" customWidth="1"/>
    <col min="16" max="16" width="8.125" style="6" customWidth="1"/>
    <col min="17" max="17" width="8.375" style="6" customWidth="1"/>
    <col min="18" max="18" width="5.375" style="6" customWidth="1"/>
    <col min="19" max="19" width="6" style="6" customWidth="1"/>
    <col min="20" max="21" width="5.5" style="6" customWidth="1"/>
    <col min="22" max="23" width="6" style="6" customWidth="1"/>
    <col min="24" max="24" width="8" style="6" customWidth="1"/>
    <col min="25" max="25" width="21.5" style="6" customWidth="1"/>
    <col min="26" max="26" width="9.125" style="8"/>
    <col min="27" max="27" width="9.625" style="8" customWidth="1"/>
    <col min="28" max="28" width="7.625" style="8" customWidth="1"/>
    <col min="29" max="29" width="11" style="8" customWidth="1"/>
    <col min="30" max="30" width="14.625" style="6" customWidth="1"/>
    <col min="31" max="31" width="17.875" style="6" customWidth="1"/>
    <col min="32" max="32" width="10" style="6" customWidth="1"/>
    <col min="33" max="16384" width="9" style="6"/>
  </cols>
  <sheetData>
    <row r="1" ht="35.1" customHeight="1" spans="1:32">
      <c r="A1" s="9" t="s">
        <v>4393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46277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72" t="s">
        <v>14</v>
      </c>
      <c r="R2" s="173" t="s">
        <v>15</v>
      </c>
      <c r="S2" s="21" t="s">
        <v>4020</v>
      </c>
      <c r="T2" s="22" t="s">
        <v>1082</v>
      </c>
      <c r="U2" s="22" t="s">
        <v>1081</v>
      </c>
      <c r="V2" s="23" t="s">
        <v>4021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4042</v>
      </c>
      <c r="M3" s="30" t="s">
        <v>4043</v>
      </c>
      <c r="N3" s="30" t="s">
        <v>4044</v>
      </c>
      <c r="O3" s="30" t="s">
        <v>4045</v>
      </c>
      <c r="P3" s="30" t="s">
        <v>4046</v>
      </c>
      <c r="Q3" s="172"/>
      <c r="R3" s="174"/>
      <c r="S3" s="21"/>
      <c r="T3" s="32"/>
      <c r="U3" s="32"/>
      <c r="V3" s="33"/>
      <c r="W3" s="21"/>
      <c r="X3" s="21"/>
      <c r="Y3" s="24"/>
      <c r="Z3" s="25"/>
      <c r="AA3" s="26"/>
      <c r="AB3" s="26"/>
      <c r="AC3" s="26"/>
      <c r="AD3" s="27"/>
    </row>
    <row r="4" s="2" customFormat="1" ht="27.75" hidden="1" customHeight="1" spans="1:32">
      <c r="A4" s="34">
        <f>ROW()-3</f>
        <v>1</v>
      </c>
      <c r="B4" s="35" t="s">
        <v>270</v>
      </c>
      <c r="C4" s="35" t="s">
        <v>271</v>
      </c>
      <c r="D4" s="35" t="s">
        <v>4362</v>
      </c>
      <c r="E4" s="35" t="s">
        <v>4363</v>
      </c>
      <c r="F4" s="36">
        <v>46006</v>
      </c>
      <c r="G4" s="36">
        <v>46090</v>
      </c>
      <c r="H4" s="36">
        <v>46090</v>
      </c>
      <c r="I4" s="36">
        <v>46038</v>
      </c>
      <c r="J4" s="35">
        <f>SUBTOTAL(9,L4:P4)</f>
        <v>0</v>
      </c>
      <c r="K4" s="35">
        <v>10</v>
      </c>
      <c r="L4" s="37">
        <v>300</v>
      </c>
      <c r="M4" s="37">
        <v>300</v>
      </c>
      <c r="N4" s="37">
        <v>300</v>
      </c>
      <c r="O4" s="37">
        <v>300</v>
      </c>
      <c r="P4" s="37">
        <v>300</v>
      </c>
      <c r="Q4" s="35" t="s">
        <v>4364</v>
      </c>
      <c r="R4" s="45" t="s">
        <v>104</v>
      </c>
      <c r="S4" s="38" t="s">
        <v>4365</v>
      </c>
      <c r="T4" s="35" t="s">
        <v>4394</v>
      </c>
      <c r="U4" s="38" t="s">
        <v>4365</v>
      </c>
      <c r="V4" s="35" t="s">
        <v>374</v>
      </c>
      <c r="W4" s="35" t="s">
        <v>2099</v>
      </c>
      <c r="X4" s="35" t="s">
        <v>4364</v>
      </c>
      <c r="Y4" s="35" t="s">
        <v>4366</v>
      </c>
      <c r="Z4" s="39">
        <v>46088</v>
      </c>
      <c r="AA4" s="44">
        <v>46114</v>
      </c>
      <c r="AB4" s="39"/>
      <c r="AC4" s="39">
        <v>46155</v>
      </c>
      <c r="AD4" s="40" t="s">
        <v>4367</v>
      </c>
      <c r="AE4" s="2" t="s">
        <v>4395</v>
      </c>
    </row>
    <row r="5" s="3" customFormat="1" ht="27.75" hidden="1" customHeight="1" spans="1:32">
      <c r="A5" s="34">
        <f t="shared" ref="A5:A12" si="0">ROW()-3</f>
        <v>2</v>
      </c>
      <c r="B5" s="35" t="s">
        <v>270</v>
      </c>
      <c r="C5" s="35" t="s">
        <v>271</v>
      </c>
      <c r="D5" s="35" t="s">
        <v>4368</v>
      </c>
      <c r="E5" s="35" t="s">
        <v>4369</v>
      </c>
      <c r="F5" s="36">
        <v>46006</v>
      </c>
      <c r="G5" s="36">
        <v>46088</v>
      </c>
      <c r="H5" s="36">
        <v>46088</v>
      </c>
      <c r="I5" s="36">
        <v>46087</v>
      </c>
      <c r="J5" s="35">
        <f>SUBTOTAL(9,L5:P5)</f>
        <v>0</v>
      </c>
      <c r="K5" s="35">
        <v>10</v>
      </c>
      <c r="L5" s="37">
        <v>200</v>
      </c>
      <c r="M5" s="37">
        <v>200</v>
      </c>
      <c r="N5" s="37">
        <v>200</v>
      </c>
      <c r="O5" s="37">
        <v>200</v>
      </c>
      <c r="P5" s="37">
        <v>200</v>
      </c>
      <c r="Q5" s="35" t="s">
        <v>4364</v>
      </c>
      <c r="R5" s="45" t="s">
        <v>104</v>
      </c>
      <c r="S5" s="38" t="s">
        <v>4365</v>
      </c>
      <c r="T5" s="49" t="s">
        <v>82</v>
      </c>
      <c r="U5" s="38" t="s">
        <v>4365</v>
      </c>
      <c r="V5" s="49" t="s">
        <v>374</v>
      </c>
      <c r="W5" s="35" t="s">
        <v>4370</v>
      </c>
      <c r="X5" s="35" t="s">
        <v>4364</v>
      </c>
      <c r="Y5" s="35" t="s">
        <v>4366</v>
      </c>
      <c r="Z5" s="39">
        <v>46086</v>
      </c>
      <c r="AA5" s="44">
        <v>46114</v>
      </c>
      <c r="AB5" s="39"/>
      <c r="AC5" s="39">
        <v>46155</v>
      </c>
      <c r="AD5" s="40" t="s">
        <v>4371</v>
      </c>
      <c r="AE5" s="2" t="s">
        <v>4395</v>
      </c>
    </row>
    <row r="6" s="3" customFormat="1" ht="27.75" hidden="1" customHeight="1" spans="1:32">
      <c r="A6" s="47">
        <f t="shared" si="0"/>
        <v>3</v>
      </c>
      <c r="B6" s="37" t="s">
        <v>420</v>
      </c>
      <c r="C6" s="37" t="s">
        <v>421</v>
      </c>
      <c r="D6" s="37" t="s">
        <v>4396</v>
      </c>
      <c r="E6" s="37" t="s">
        <v>4397</v>
      </c>
      <c r="F6" s="56">
        <v>46094</v>
      </c>
      <c r="G6" s="56">
        <v>46169</v>
      </c>
      <c r="H6" s="56">
        <v>46169</v>
      </c>
      <c r="I6" s="56">
        <v>46136</v>
      </c>
      <c r="J6" s="175">
        <f>SUM(L6:P6)</f>
        <v>7500</v>
      </c>
      <c r="K6" s="175">
        <v>10</v>
      </c>
      <c r="L6" s="175">
        <v>1500</v>
      </c>
      <c r="M6" s="175">
        <v>1500</v>
      </c>
      <c r="N6" s="175">
        <v>1500</v>
      </c>
      <c r="O6" s="175">
        <v>1500</v>
      </c>
      <c r="P6" s="175">
        <v>1500</v>
      </c>
      <c r="Q6" s="49" t="s">
        <v>2495</v>
      </c>
      <c r="R6" s="46" t="s">
        <v>196</v>
      </c>
      <c r="S6" s="49" t="s">
        <v>4083</v>
      </c>
      <c r="T6" s="49" t="s">
        <v>4083</v>
      </c>
      <c r="U6" s="49" t="s">
        <v>4083</v>
      </c>
      <c r="V6" s="54" t="s">
        <v>4084</v>
      </c>
      <c r="W6" s="54" t="s">
        <v>501</v>
      </c>
      <c r="X6" s="49" t="s">
        <v>2495</v>
      </c>
      <c r="Y6" s="37" t="s">
        <v>4221</v>
      </c>
      <c r="Z6" s="176">
        <v>46169</v>
      </c>
      <c r="AA6" s="176">
        <v>46170</v>
      </c>
      <c r="AB6" s="176"/>
      <c r="AC6" s="176">
        <v>46186</v>
      </c>
      <c r="AD6" s="177" t="s">
        <v>4398</v>
      </c>
      <c r="AE6" s="159" t="s">
        <v>4399</v>
      </c>
    </row>
    <row r="7" s="2" customFormat="1" ht="31.7" hidden="1" customHeight="1" spans="1:32">
      <c r="A7" s="34">
        <f t="shared" si="0"/>
        <v>4</v>
      </c>
      <c r="B7" s="35" t="s">
        <v>4400</v>
      </c>
      <c r="C7" s="35" t="s">
        <v>645</v>
      </c>
      <c r="D7" s="35" t="s">
        <v>4401</v>
      </c>
      <c r="E7" s="35" t="s">
        <v>4402</v>
      </c>
      <c r="F7" s="36">
        <v>46086</v>
      </c>
      <c r="G7" s="36">
        <v>46183</v>
      </c>
      <c r="H7" s="36">
        <v>46183</v>
      </c>
      <c r="I7" s="36">
        <v>46108</v>
      </c>
      <c r="J7" s="35">
        <f>SUBTOTAL(9,L7:P7)</f>
        <v>0</v>
      </c>
      <c r="K7" s="35">
        <v>10</v>
      </c>
      <c r="L7" s="37">
        <v>360</v>
      </c>
      <c r="M7" s="37">
        <v>360</v>
      </c>
      <c r="N7" s="37">
        <v>360</v>
      </c>
      <c r="O7" s="37">
        <v>360</v>
      </c>
      <c r="P7" s="37">
        <v>360</v>
      </c>
      <c r="Q7" s="35" t="s">
        <v>499</v>
      </c>
      <c r="R7" s="45" t="s">
        <v>104</v>
      </c>
      <c r="S7" s="38" t="s">
        <v>501</v>
      </c>
      <c r="T7" s="38" t="s">
        <v>501</v>
      </c>
      <c r="U7" s="38" t="s">
        <v>501</v>
      </c>
      <c r="V7" s="38" t="s">
        <v>1184</v>
      </c>
      <c r="W7" s="35" t="s">
        <v>1072</v>
      </c>
      <c r="X7" s="35" t="s">
        <v>499</v>
      </c>
      <c r="Y7" s="37" t="s">
        <v>4403</v>
      </c>
      <c r="Z7" s="39">
        <v>46183</v>
      </c>
      <c r="AA7" s="44">
        <v>46185</v>
      </c>
      <c r="AB7" s="39"/>
      <c r="AC7" s="39">
        <v>46238</v>
      </c>
      <c r="AD7" s="40"/>
      <c r="AE7" s="41" t="s">
        <v>4395</v>
      </c>
    </row>
    <row r="8" s="2" customFormat="1" ht="31.7" hidden="1" customHeight="1" spans="1:32">
      <c r="A8" s="34">
        <f t="shared" si="0"/>
        <v>5</v>
      </c>
      <c r="B8" s="35" t="s">
        <v>420</v>
      </c>
      <c r="C8" s="35" t="s">
        <v>421</v>
      </c>
      <c r="D8" s="37" t="s">
        <v>4230</v>
      </c>
      <c r="E8" s="35" t="s">
        <v>4231</v>
      </c>
      <c r="F8" s="36">
        <v>46113</v>
      </c>
      <c r="G8" s="36">
        <v>46183</v>
      </c>
      <c r="H8" s="36">
        <v>46183</v>
      </c>
      <c r="I8" s="36">
        <v>46136</v>
      </c>
      <c r="J8" s="35">
        <f>SUM(L8:P8)</f>
        <v>1600</v>
      </c>
      <c r="K8" s="35">
        <v>10</v>
      </c>
      <c r="L8" s="37">
        <v>320</v>
      </c>
      <c r="M8" s="37">
        <v>320</v>
      </c>
      <c r="N8" s="37">
        <v>320</v>
      </c>
      <c r="O8" s="37">
        <v>320</v>
      </c>
      <c r="P8" s="37">
        <v>320</v>
      </c>
      <c r="Q8" s="35" t="s">
        <v>499</v>
      </c>
      <c r="R8" s="45" t="s">
        <v>196</v>
      </c>
      <c r="S8" s="38" t="s">
        <v>501</v>
      </c>
      <c r="T8" s="38" t="s">
        <v>501</v>
      </c>
      <c r="U8" s="38" t="s">
        <v>501</v>
      </c>
      <c r="V8" s="38" t="s">
        <v>1184</v>
      </c>
      <c r="W8" s="35" t="s">
        <v>1072</v>
      </c>
      <c r="X8" s="35" t="s">
        <v>499</v>
      </c>
      <c r="Y8" s="37" t="s">
        <v>4232</v>
      </c>
      <c r="Z8" s="39">
        <v>46183</v>
      </c>
      <c r="AA8" s="57">
        <v>46190</v>
      </c>
      <c r="AB8" s="39"/>
      <c r="AC8" s="39">
        <v>46196</v>
      </c>
      <c r="AD8" s="40" t="s">
        <v>4233</v>
      </c>
      <c r="AE8" s="41" t="s">
        <v>4399</v>
      </c>
      <c r="AF8" s="2" t="s">
        <v>1607</v>
      </c>
    </row>
    <row r="9" s="2" customFormat="1" ht="31.7" hidden="1" customHeight="1" spans="1:32">
      <c r="A9" s="34">
        <f t="shared" si="0"/>
        <v>6</v>
      </c>
      <c r="B9" s="35" t="s">
        <v>420</v>
      </c>
      <c r="C9" s="35" t="s">
        <v>421</v>
      </c>
      <c r="D9" s="37" t="s">
        <v>4234</v>
      </c>
      <c r="E9" s="35" t="s">
        <v>4235</v>
      </c>
      <c r="F9" s="36">
        <v>46113</v>
      </c>
      <c r="G9" s="36">
        <v>46192</v>
      </c>
      <c r="H9" s="36">
        <v>46192</v>
      </c>
      <c r="I9" s="36">
        <v>46136</v>
      </c>
      <c r="J9" s="35">
        <f>SUM(L9:P9)</f>
        <v>10000</v>
      </c>
      <c r="K9" s="35">
        <v>10</v>
      </c>
      <c r="L9" s="37">
        <v>2000</v>
      </c>
      <c r="M9" s="37">
        <v>2000</v>
      </c>
      <c r="N9" s="37">
        <v>2000</v>
      </c>
      <c r="O9" s="37">
        <v>2000</v>
      </c>
      <c r="P9" s="37">
        <v>2000</v>
      </c>
      <c r="Q9" s="35" t="s">
        <v>499</v>
      </c>
      <c r="R9" s="45" t="s">
        <v>196</v>
      </c>
      <c r="S9" s="38" t="s">
        <v>501</v>
      </c>
      <c r="T9" s="38" t="s">
        <v>501</v>
      </c>
      <c r="U9" s="38" t="s">
        <v>501</v>
      </c>
      <c r="V9" s="38" t="s">
        <v>1184</v>
      </c>
      <c r="W9" s="35" t="s">
        <v>1072</v>
      </c>
      <c r="X9" s="35" t="s">
        <v>499</v>
      </c>
      <c r="Y9" s="37" t="s">
        <v>4210</v>
      </c>
      <c r="Z9" s="39">
        <v>46192</v>
      </c>
      <c r="AA9" s="44">
        <v>46203</v>
      </c>
      <c r="AB9" s="39"/>
      <c r="AC9" s="39">
        <v>46217</v>
      </c>
      <c r="AD9" s="40" t="s">
        <v>4236</v>
      </c>
      <c r="AE9" s="41" t="s">
        <v>4399</v>
      </c>
      <c r="AF9" s="2" t="s">
        <v>1607</v>
      </c>
    </row>
    <row r="10" s="2" customFormat="1" ht="31.7" hidden="1" customHeight="1" spans="1:32">
      <c r="A10" s="34">
        <f t="shared" si="0"/>
        <v>7</v>
      </c>
      <c r="B10" s="35" t="s">
        <v>3162</v>
      </c>
      <c r="C10" s="35" t="s">
        <v>360</v>
      </c>
      <c r="D10" s="37" t="s">
        <v>4404</v>
      </c>
      <c r="E10" s="35" t="s">
        <v>4405</v>
      </c>
      <c r="F10" s="36">
        <v>46122</v>
      </c>
      <c r="G10" s="36">
        <v>46196</v>
      </c>
      <c r="H10" s="36">
        <v>46196</v>
      </c>
      <c r="I10" s="36">
        <v>46136</v>
      </c>
      <c r="J10" s="35">
        <f>SUBTOTAL(9,L10:P10)</f>
        <v>0</v>
      </c>
      <c r="K10" s="35">
        <v>10</v>
      </c>
      <c r="L10" s="37">
        <v>1000</v>
      </c>
      <c r="M10" s="37">
        <v>1000</v>
      </c>
      <c r="N10" s="37">
        <v>1000</v>
      </c>
      <c r="O10" s="37">
        <v>1000</v>
      </c>
      <c r="P10" s="37">
        <v>1000</v>
      </c>
      <c r="Q10" s="35" t="s">
        <v>1749</v>
      </c>
      <c r="R10" s="45" t="s">
        <v>104</v>
      </c>
      <c r="S10" s="38" t="s">
        <v>526</v>
      </c>
      <c r="T10" s="38" t="s">
        <v>526</v>
      </c>
      <c r="U10" s="38" t="s">
        <v>526</v>
      </c>
      <c r="V10" s="38" t="s">
        <v>1875</v>
      </c>
      <c r="W10" s="35" t="s">
        <v>526</v>
      </c>
      <c r="X10" s="35" t="s">
        <v>1749</v>
      </c>
      <c r="Y10" s="37" t="s">
        <v>4225</v>
      </c>
      <c r="Z10" s="39">
        <v>46196</v>
      </c>
      <c r="AA10" s="44">
        <v>46197</v>
      </c>
      <c r="AB10" s="39"/>
      <c r="AC10" s="39">
        <v>46207</v>
      </c>
      <c r="AD10" s="40" t="s">
        <v>4406</v>
      </c>
      <c r="AE10" s="41" t="s">
        <v>4407</v>
      </c>
      <c r="AF10" s="2" t="s">
        <v>1607</v>
      </c>
    </row>
    <row r="11" s="2" customFormat="1" ht="31.7" hidden="1" customHeight="1" spans="1:32">
      <c r="A11" s="34">
        <f t="shared" si="0"/>
        <v>8</v>
      </c>
      <c r="B11" s="35" t="s">
        <v>4237</v>
      </c>
      <c r="C11" s="35" t="s">
        <v>114</v>
      </c>
      <c r="D11" s="37" t="s">
        <v>4238</v>
      </c>
      <c r="E11" s="35" t="s">
        <v>4239</v>
      </c>
      <c r="F11" s="36">
        <v>46101</v>
      </c>
      <c r="G11" s="36">
        <v>46197</v>
      </c>
      <c r="H11" s="36">
        <v>46197</v>
      </c>
      <c r="I11" s="36">
        <v>46135</v>
      </c>
      <c r="J11" s="35">
        <f>SUBTOTAL(9,L11:P11)</f>
        <v>0</v>
      </c>
      <c r="K11" s="35">
        <v>10</v>
      </c>
      <c r="L11" s="37">
        <v>560</v>
      </c>
      <c r="M11" s="37">
        <v>560</v>
      </c>
      <c r="N11" s="37">
        <v>560</v>
      </c>
      <c r="O11" s="37">
        <v>560</v>
      </c>
      <c r="P11" s="37">
        <v>560</v>
      </c>
      <c r="Q11" s="35" t="s">
        <v>1749</v>
      </c>
      <c r="R11" s="45" t="s">
        <v>104</v>
      </c>
      <c r="S11" s="38" t="s">
        <v>526</v>
      </c>
      <c r="T11" s="38" t="s">
        <v>526</v>
      </c>
      <c r="U11" s="38" t="s">
        <v>526</v>
      </c>
      <c r="V11" s="38" t="s">
        <v>1875</v>
      </c>
      <c r="W11" s="35" t="s">
        <v>526</v>
      </c>
      <c r="X11" s="35" t="s">
        <v>1749</v>
      </c>
      <c r="Y11" s="37" t="s">
        <v>4240</v>
      </c>
      <c r="Z11" s="39">
        <v>46197</v>
      </c>
      <c r="AA11" s="44">
        <v>46197</v>
      </c>
      <c r="AB11" s="39"/>
      <c r="AC11" s="39">
        <v>46218</v>
      </c>
      <c r="AD11" s="40">
        <v>4504222790</v>
      </c>
      <c r="AE11" s="41" t="s">
        <v>4407</v>
      </c>
      <c r="AF11" s="2" t="s">
        <v>1607</v>
      </c>
    </row>
    <row r="12" s="2" customFormat="1" ht="31.7" hidden="1" customHeight="1" spans="1:32">
      <c r="A12" s="34">
        <f t="shared" si="0"/>
        <v>9</v>
      </c>
      <c r="B12" s="35" t="s">
        <v>420</v>
      </c>
      <c r="C12" s="35" t="s">
        <v>421</v>
      </c>
      <c r="D12" s="35" t="s">
        <v>4408</v>
      </c>
      <c r="E12" s="35" t="s">
        <v>4409</v>
      </c>
      <c r="F12" s="36">
        <v>46093</v>
      </c>
      <c r="G12" s="36">
        <v>46217</v>
      </c>
      <c r="H12" s="36">
        <v>46217</v>
      </c>
      <c r="I12" s="36">
        <v>46185</v>
      </c>
      <c r="J12" s="35">
        <f>SUM(L12:P12)</f>
        <v>5000</v>
      </c>
      <c r="K12" s="35">
        <v>10</v>
      </c>
      <c r="L12" s="37">
        <v>1000</v>
      </c>
      <c r="M12" s="37">
        <v>1000</v>
      </c>
      <c r="N12" s="37">
        <v>1000</v>
      </c>
      <c r="O12" s="37">
        <v>1000</v>
      </c>
      <c r="P12" s="37">
        <v>1000</v>
      </c>
      <c r="Q12" s="35" t="s">
        <v>554</v>
      </c>
      <c r="R12" s="45" t="s">
        <v>196</v>
      </c>
      <c r="S12" s="38" t="s">
        <v>1750</v>
      </c>
      <c r="T12" s="38" t="s">
        <v>1750</v>
      </c>
      <c r="U12" s="38" t="s">
        <v>1750</v>
      </c>
      <c r="V12" s="38" t="s">
        <v>4128</v>
      </c>
      <c r="W12" s="35" t="s">
        <v>4410</v>
      </c>
      <c r="X12" s="35" t="s">
        <v>554</v>
      </c>
      <c r="Y12" s="37" t="s">
        <v>4332</v>
      </c>
      <c r="Z12" s="39">
        <v>46217</v>
      </c>
      <c r="AA12" s="39">
        <v>46220</v>
      </c>
      <c r="AB12" s="39"/>
      <c r="AC12" s="39">
        <v>46227</v>
      </c>
      <c r="AD12" s="40" t="s">
        <v>4411</v>
      </c>
      <c r="AE12" s="41" t="s">
        <v>4399</v>
      </c>
      <c r="AF12" s="2" t="s">
        <v>1610</v>
      </c>
    </row>
    <row r="13" s="2" customFormat="1" ht="39" hidden="1" customHeight="1" spans="1:32">
      <c r="A13" s="34">
        <f t="shared" ref="A13:A24" si="1">ROW()-3</f>
        <v>10</v>
      </c>
      <c r="B13" s="35" t="s">
        <v>420</v>
      </c>
      <c r="C13" s="35" t="s">
        <v>421</v>
      </c>
      <c r="D13" s="35" t="s">
        <v>4412</v>
      </c>
      <c r="E13" s="35" t="s">
        <v>4413</v>
      </c>
      <c r="F13" s="36">
        <v>46148</v>
      </c>
      <c r="G13" s="36">
        <v>46228</v>
      </c>
      <c r="H13" s="36">
        <v>46228</v>
      </c>
      <c r="I13" s="36">
        <v>46185</v>
      </c>
      <c r="J13" s="35">
        <f>SUBTOTAL(9,L13:P13)</f>
        <v>0</v>
      </c>
      <c r="K13" s="35">
        <v>10</v>
      </c>
      <c r="L13" s="37">
        <v>1000</v>
      </c>
      <c r="M13" s="37">
        <v>1000</v>
      </c>
      <c r="N13" s="37">
        <v>1000</v>
      </c>
      <c r="O13" s="37">
        <v>1000</v>
      </c>
      <c r="P13" s="37">
        <v>1000</v>
      </c>
      <c r="Q13" s="35" t="s">
        <v>554</v>
      </c>
      <c r="R13" s="45" t="s">
        <v>196</v>
      </c>
      <c r="S13" s="38" t="s">
        <v>4410</v>
      </c>
      <c r="T13" s="38" t="s">
        <v>4410</v>
      </c>
      <c r="U13" s="38" t="s">
        <v>4410</v>
      </c>
      <c r="V13" s="38" t="s">
        <v>1207</v>
      </c>
      <c r="W13" s="35" t="s">
        <v>4410</v>
      </c>
      <c r="X13" s="35" t="s">
        <v>554</v>
      </c>
      <c r="Y13" s="37" t="s">
        <v>4332</v>
      </c>
      <c r="Z13" s="39">
        <v>46228</v>
      </c>
      <c r="AA13" s="44">
        <v>46231</v>
      </c>
      <c r="AB13" s="39"/>
      <c r="AC13" s="39">
        <v>46249</v>
      </c>
      <c r="AD13" s="40" t="s">
        <v>4414</v>
      </c>
      <c r="AE13" s="41" t="s">
        <v>4399</v>
      </c>
      <c r="AF13" s="2" t="s">
        <v>3235</v>
      </c>
    </row>
    <row r="14" s="2" customFormat="1" ht="29.1" hidden="1" customHeight="1" spans="1:32">
      <c r="A14" s="34">
        <f t="shared" si="1"/>
        <v>11</v>
      </c>
      <c r="B14" s="35" t="s">
        <v>420</v>
      </c>
      <c r="C14" s="35" t="s">
        <v>421</v>
      </c>
      <c r="D14" s="35" t="s">
        <v>4292</v>
      </c>
      <c r="E14" s="35" t="s">
        <v>4293</v>
      </c>
      <c r="F14" s="36">
        <v>46148</v>
      </c>
      <c r="G14" s="36">
        <v>46243</v>
      </c>
      <c r="H14" s="36">
        <v>46243</v>
      </c>
      <c r="I14" s="36">
        <v>46212</v>
      </c>
      <c r="J14" s="35">
        <f>SUM(L14:P14)</f>
        <v>5000</v>
      </c>
      <c r="K14" s="35">
        <v>10</v>
      </c>
      <c r="L14" s="37">
        <v>1000</v>
      </c>
      <c r="M14" s="37">
        <v>1000</v>
      </c>
      <c r="N14" s="37">
        <v>1000</v>
      </c>
      <c r="O14" s="37">
        <v>1000</v>
      </c>
      <c r="P14" s="37">
        <v>1000</v>
      </c>
      <c r="Q14" s="35" t="s">
        <v>1600</v>
      </c>
      <c r="R14" s="45" t="s">
        <v>196</v>
      </c>
      <c r="S14" s="38" t="s">
        <v>4138</v>
      </c>
      <c r="T14" s="38" t="s">
        <v>4138</v>
      </c>
      <c r="U14" s="38" t="s">
        <v>4138</v>
      </c>
      <c r="V14" s="38" t="s">
        <v>1207</v>
      </c>
      <c r="W14" s="35" t="s">
        <v>1227</v>
      </c>
      <c r="X14" s="35" t="s">
        <v>1600</v>
      </c>
      <c r="Y14" s="37" t="s">
        <v>4332</v>
      </c>
      <c r="Z14" s="39">
        <v>46243</v>
      </c>
      <c r="AA14" s="39">
        <v>46246</v>
      </c>
      <c r="AB14" s="39"/>
      <c r="AC14" s="39">
        <v>46275</v>
      </c>
      <c r="AD14" s="40" t="s">
        <v>4294</v>
      </c>
      <c r="AE14" s="2" t="s">
        <v>4399</v>
      </c>
      <c r="AF14" s="2" t="s">
        <v>1610</v>
      </c>
    </row>
    <row r="15" s="2" customFormat="1" ht="29.1" hidden="1" customHeight="1" spans="1:32">
      <c r="A15" s="34">
        <f t="shared" si="1"/>
        <v>12</v>
      </c>
      <c r="B15" s="35" t="s">
        <v>420</v>
      </c>
      <c r="C15" s="35" t="s">
        <v>421</v>
      </c>
      <c r="D15" s="35" t="s">
        <v>4415</v>
      </c>
      <c r="E15" s="35" t="s">
        <v>4416</v>
      </c>
      <c r="F15" s="36">
        <v>46148</v>
      </c>
      <c r="G15" s="36">
        <v>46253</v>
      </c>
      <c r="H15" s="36">
        <v>46253</v>
      </c>
      <c r="I15" s="36">
        <v>46212</v>
      </c>
      <c r="J15" s="35">
        <f t="shared" ref="J15:J22" si="2">SUBTOTAL(9,L15:P15)</f>
        <v>0</v>
      </c>
      <c r="K15" s="35">
        <v>10</v>
      </c>
      <c r="L15" s="37">
        <v>1000</v>
      </c>
      <c r="M15" s="37">
        <v>1000</v>
      </c>
      <c r="N15" s="37">
        <v>1000</v>
      </c>
      <c r="O15" s="37">
        <v>1000</v>
      </c>
      <c r="P15" s="37">
        <v>1000</v>
      </c>
      <c r="Q15" s="35" t="s">
        <v>1600</v>
      </c>
      <c r="R15" s="45" t="s">
        <v>196</v>
      </c>
      <c r="S15" s="38" t="s">
        <v>4138</v>
      </c>
      <c r="T15" s="38" t="s">
        <v>4138</v>
      </c>
      <c r="U15" s="38" t="s">
        <v>4138</v>
      </c>
      <c r="V15" s="38" t="s">
        <v>1207</v>
      </c>
      <c r="W15" s="35" t="s">
        <v>607</v>
      </c>
      <c r="X15" s="35" t="s">
        <v>1600</v>
      </c>
      <c r="Y15" s="37" t="s">
        <v>4332</v>
      </c>
      <c r="Z15" s="39">
        <v>46253</v>
      </c>
      <c r="AA15" s="39">
        <v>46255</v>
      </c>
      <c r="AB15" s="39"/>
      <c r="AC15" s="39">
        <v>46274</v>
      </c>
      <c r="AD15" s="40" t="s">
        <v>4417</v>
      </c>
      <c r="AE15" s="41" t="s">
        <v>4399</v>
      </c>
      <c r="AF15" s="2" t="s">
        <v>3235</v>
      </c>
    </row>
    <row r="16" s="2" customFormat="1" ht="29.1" customHeight="1" spans="1:32">
      <c r="A16" s="34">
        <f t="shared" si="1"/>
        <v>13</v>
      </c>
      <c r="B16" s="35" t="s">
        <v>420</v>
      </c>
      <c r="C16" s="35" t="s">
        <v>421</v>
      </c>
      <c r="D16" s="35" t="s">
        <v>4380</v>
      </c>
      <c r="E16" s="35" t="s">
        <v>4381</v>
      </c>
      <c r="F16" s="36">
        <v>46148</v>
      </c>
      <c r="G16" s="36">
        <v>46269</v>
      </c>
      <c r="H16" s="36">
        <v>46269</v>
      </c>
      <c r="I16" s="36">
        <v>46237</v>
      </c>
      <c r="J16" s="35">
        <f t="shared" si="2"/>
        <v>17500</v>
      </c>
      <c r="K16" s="35">
        <v>10</v>
      </c>
      <c r="L16" s="37">
        <v>3500</v>
      </c>
      <c r="M16" s="37">
        <v>3500</v>
      </c>
      <c r="N16" s="37">
        <v>3500</v>
      </c>
      <c r="O16" s="37">
        <v>3500</v>
      </c>
      <c r="P16" s="37">
        <v>3500</v>
      </c>
      <c r="Q16" s="35" t="s">
        <v>1444</v>
      </c>
      <c r="R16" s="45" t="s">
        <v>196</v>
      </c>
      <c r="S16" s="38" t="s">
        <v>4176</v>
      </c>
      <c r="T16" s="38" t="s">
        <v>4176</v>
      </c>
      <c r="U16" s="38" t="s">
        <v>4176</v>
      </c>
      <c r="V16" s="38" t="s">
        <v>1660</v>
      </c>
      <c r="W16" s="38" t="s">
        <v>1660</v>
      </c>
      <c r="X16" s="35" t="s">
        <v>1444</v>
      </c>
      <c r="Y16" s="37" t="s">
        <v>4332</v>
      </c>
      <c r="Z16" s="39">
        <v>46269</v>
      </c>
      <c r="AA16" s="39">
        <v>46276</v>
      </c>
      <c r="AB16" s="39"/>
      <c r="AC16" s="39"/>
      <c r="AD16" s="40" t="s">
        <v>4382</v>
      </c>
      <c r="AE16" s="41" t="s">
        <v>4399</v>
      </c>
      <c r="AF16" s="2" t="s">
        <v>3235</v>
      </c>
    </row>
    <row r="17" s="2" customFormat="1" ht="29.1" customHeight="1" spans="1:32">
      <c r="A17" s="59">
        <f t="shared" si="1"/>
        <v>14</v>
      </c>
      <c r="B17" s="60" t="s">
        <v>420</v>
      </c>
      <c r="C17" s="60" t="s">
        <v>421</v>
      </c>
      <c r="D17" s="60" t="s">
        <v>4383</v>
      </c>
      <c r="E17" s="60" t="s">
        <v>4384</v>
      </c>
      <c r="F17" s="61">
        <v>46148</v>
      </c>
      <c r="G17" s="61">
        <v>46283</v>
      </c>
      <c r="H17" s="61">
        <v>46283</v>
      </c>
      <c r="I17" s="61">
        <v>46237</v>
      </c>
      <c r="J17" s="60">
        <f t="shared" si="2"/>
        <v>7500</v>
      </c>
      <c r="K17" s="60">
        <v>10</v>
      </c>
      <c r="L17" s="83">
        <v>1500</v>
      </c>
      <c r="M17" s="83">
        <v>1500</v>
      </c>
      <c r="N17" s="83">
        <v>1500</v>
      </c>
      <c r="O17" s="83">
        <v>1500</v>
      </c>
      <c r="P17" s="83">
        <v>1500</v>
      </c>
      <c r="Q17" s="63" t="s">
        <v>1444</v>
      </c>
      <c r="R17" s="64" t="s">
        <v>196</v>
      </c>
      <c r="S17" s="65" t="s">
        <v>4176</v>
      </c>
      <c r="T17" s="65" t="s">
        <v>4176</v>
      </c>
      <c r="U17" s="65" t="s">
        <v>4176</v>
      </c>
      <c r="V17" s="65" t="s">
        <v>1660</v>
      </c>
      <c r="W17" s="65" t="s">
        <v>1660</v>
      </c>
      <c r="X17" s="60" t="s">
        <v>1444</v>
      </c>
      <c r="Y17" s="66" t="s">
        <v>4332</v>
      </c>
      <c r="Z17" s="67">
        <v>46283</v>
      </c>
      <c r="AA17" s="68"/>
      <c r="AB17" s="68"/>
      <c r="AC17" s="68"/>
      <c r="AD17" s="70" t="s">
        <v>4385</v>
      </c>
      <c r="AE17" s="41" t="s">
        <v>4399</v>
      </c>
      <c r="AF17" s="2" t="s">
        <v>2533</v>
      </c>
    </row>
    <row r="18" s="2" customFormat="1" ht="29.1" customHeight="1" spans="1:32">
      <c r="A18" s="59">
        <f t="shared" si="1"/>
        <v>15</v>
      </c>
      <c r="B18" s="60" t="s">
        <v>420</v>
      </c>
      <c r="C18" s="60" t="s">
        <v>421</v>
      </c>
      <c r="D18" s="60" t="s">
        <v>4386</v>
      </c>
      <c r="E18" s="60" t="s">
        <v>4387</v>
      </c>
      <c r="F18" s="61">
        <v>46148</v>
      </c>
      <c r="G18" s="61">
        <v>46289</v>
      </c>
      <c r="H18" s="61">
        <v>46289</v>
      </c>
      <c r="I18" s="61">
        <v>46237</v>
      </c>
      <c r="J18" s="60">
        <f t="shared" si="2"/>
        <v>4000</v>
      </c>
      <c r="K18" s="60">
        <v>10</v>
      </c>
      <c r="L18" s="83">
        <v>800</v>
      </c>
      <c r="M18" s="83">
        <v>800</v>
      </c>
      <c r="N18" s="83">
        <v>800</v>
      </c>
      <c r="O18" s="83">
        <v>800</v>
      </c>
      <c r="P18" s="83">
        <v>800</v>
      </c>
      <c r="Q18" s="63" t="s">
        <v>1444</v>
      </c>
      <c r="R18" s="64" t="s">
        <v>196</v>
      </c>
      <c r="S18" s="65" t="s">
        <v>4176</v>
      </c>
      <c r="T18" s="65" t="s">
        <v>4176</v>
      </c>
      <c r="U18" s="65" t="s">
        <v>4176</v>
      </c>
      <c r="V18" s="65" t="s">
        <v>1660</v>
      </c>
      <c r="W18" s="65" t="s">
        <v>1660</v>
      </c>
      <c r="X18" s="60" t="s">
        <v>1444</v>
      </c>
      <c r="Y18" s="66" t="s">
        <v>4332</v>
      </c>
      <c r="Z18" s="67">
        <v>46289</v>
      </c>
      <c r="AA18" s="68"/>
      <c r="AB18" s="68"/>
      <c r="AC18" s="68"/>
      <c r="AD18" s="70" t="s">
        <v>4388</v>
      </c>
      <c r="AE18" s="41" t="s">
        <v>4399</v>
      </c>
      <c r="AF18" s="2" t="s">
        <v>2533</v>
      </c>
    </row>
    <row r="19" s="2" customFormat="1" ht="45" customHeight="1" spans="1:32">
      <c r="A19" s="59">
        <f t="shared" si="1"/>
        <v>16</v>
      </c>
      <c r="B19" s="66" t="s">
        <v>3063</v>
      </c>
      <c r="C19" s="60" t="s">
        <v>726</v>
      </c>
      <c r="D19" s="60" t="s">
        <v>4418</v>
      </c>
      <c r="E19" s="60" t="s">
        <v>4419</v>
      </c>
      <c r="F19" s="61">
        <v>46149</v>
      </c>
      <c r="G19" s="61">
        <v>46288</v>
      </c>
      <c r="H19" s="61">
        <v>46290</v>
      </c>
      <c r="I19" s="61">
        <v>46219</v>
      </c>
      <c r="J19" s="60">
        <f t="shared" si="2"/>
        <v>7500</v>
      </c>
      <c r="K19" s="60">
        <v>10</v>
      </c>
      <c r="L19" s="62">
        <v>1500</v>
      </c>
      <c r="M19" s="62">
        <v>1500</v>
      </c>
      <c r="N19" s="62">
        <v>1500</v>
      </c>
      <c r="O19" s="62">
        <v>1500</v>
      </c>
      <c r="P19" s="62">
        <v>1500</v>
      </c>
      <c r="Q19" s="63" t="s">
        <v>1444</v>
      </c>
      <c r="R19" s="64" t="s">
        <v>104</v>
      </c>
      <c r="S19" s="65" t="s">
        <v>4176</v>
      </c>
      <c r="T19" s="65" t="s">
        <v>4176</v>
      </c>
      <c r="U19" s="65" t="s">
        <v>4176</v>
      </c>
      <c r="V19" s="65" t="s">
        <v>1660</v>
      </c>
      <c r="W19" s="60" t="s">
        <v>4420</v>
      </c>
      <c r="X19" s="60" t="s">
        <v>1444</v>
      </c>
      <c r="Y19" s="60" t="s">
        <v>4421</v>
      </c>
      <c r="Z19" s="67">
        <v>46290</v>
      </c>
      <c r="AA19" s="145" t="s">
        <v>4422</v>
      </c>
      <c r="AB19" s="68"/>
      <c r="AC19" s="68"/>
      <c r="AD19" s="70">
        <v>354115</v>
      </c>
      <c r="AE19" s="41" t="s">
        <v>4423</v>
      </c>
      <c r="AF19" s="2" t="s">
        <v>2533</v>
      </c>
    </row>
    <row r="20" s="2" customFormat="1" ht="32" customHeight="1" spans="1:32">
      <c r="A20" s="59">
        <f t="shared" si="1"/>
        <v>17</v>
      </c>
      <c r="B20" s="91" t="s">
        <v>420</v>
      </c>
      <c r="C20" s="91" t="s">
        <v>421</v>
      </c>
      <c r="D20" s="91" t="s">
        <v>4389</v>
      </c>
      <c r="E20" s="91"/>
      <c r="F20" s="92">
        <v>46276</v>
      </c>
      <c r="G20" s="92"/>
      <c r="H20" s="92"/>
      <c r="I20" s="92"/>
      <c r="J20" s="91">
        <f t="shared" si="2"/>
        <v>6000</v>
      </c>
      <c r="K20" s="91">
        <v>10</v>
      </c>
      <c r="L20" s="62">
        <v>1200</v>
      </c>
      <c r="M20" s="62">
        <v>1200</v>
      </c>
      <c r="N20" s="62">
        <v>1200</v>
      </c>
      <c r="O20" s="62">
        <v>1200</v>
      </c>
      <c r="P20" s="62">
        <v>1200</v>
      </c>
      <c r="Q20" s="63"/>
      <c r="R20" s="64" t="s">
        <v>196</v>
      </c>
      <c r="S20" s="65"/>
      <c r="T20" s="65"/>
      <c r="U20" s="65"/>
      <c r="V20" s="65"/>
      <c r="W20" s="60"/>
      <c r="X20" s="60"/>
      <c r="Y20" s="66" t="s">
        <v>4332</v>
      </c>
      <c r="Z20" s="67"/>
      <c r="AA20" s="145"/>
      <c r="AB20" s="68"/>
      <c r="AC20" s="68"/>
      <c r="AD20" s="70" t="s">
        <v>4390</v>
      </c>
      <c r="AE20" s="41" t="s">
        <v>4399</v>
      </c>
    </row>
    <row r="21" s="2" customFormat="1" ht="32" customHeight="1" spans="1:32">
      <c r="A21" s="59">
        <f t="shared" si="1"/>
        <v>18</v>
      </c>
      <c r="B21" s="91" t="s">
        <v>420</v>
      </c>
      <c r="C21" s="91" t="s">
        <v>421</v>
      </c>
      <c r="D21" s="91" t="s">
        <v>4391</v>
      </c>
      <c r="E21" s="91"/>
      <c r="F21" s="92">
        <v>46276</v>
      </c>
      <c r="G21" s="92"/>
      <c r="H21" s="92"/>
      <c r="I21" s="92"/>
      <c r="J21" s="91">
        <f t="shared" si="2"/>
        <v>6000</v>
      </c>
      <c r="K21" s="91">
        <v>10</v>
      </c>
      <c r="L21" s="62">
        <v>1200</v>
      </c>
      <c r="M21" s="62">
        <v>1200</v>
      </c>
      <c r="N21" s="62">
        <v>1200</v>
      </c>
      <c r="O21" s="62">
        <v>1200</v>
      </c>
      <c r="P21" s="62">
        <v>1200</v>
      </c>
      <c r="Q21" s="63"/>
      <c r="R21" s="64" t="s">
        <v>196</v>
      </c>
      <c r="S21" s="65"/>
      <c r="T21" s="65"/>
      <c r="U21" s="65"/>
      <c r="V21" s="65"/>
      <c r="W21" s="60"/>
      <c r="X21" s="60"/>
      <c r="Y21" s="66" t="s">
        <v>4332</v>
      </c>
      <c r="Z21" s="67"/>
      <c r="AA21" s="145"/>
      <c r="AB21" s="68"/>
      <c r="AC21" s="68"/>
      <c r="AD21" s="70" t="s">
        <v>4424</v>
      </c>
      <c r="AE21" s="41" t="s">
        <v>4399</v>
      </c>
    </row>
    <row r="22" s="2" customFormat="1" ht="32" customHeight="1" spans="1:32">
      <c r="A22" s="59">
        <f t="shared" si="1"/>
        <v>19</v>
      </c>
      <c r="B22" s="91" t="s">
        <v>420</v>
      </c>
      <c r="C22" s="91" t="s">
        <v>421</v>
      </c>
      <c r="D22" s="91" t="s">
        <v>4425</v>
      </c>
      <c r="E22" s="91"/>
      <c r="F22" s="92">
        <v>46276</v>
      </c>
      <c r="G22" s="92"/>
      <c r="H22" s="92"/>
      <c r="I22" s="92"/>
      <c r="J22" s="91">
        <f t="shared" si="2"/>
        <v>3750</v>
      </c>
      <c r="K22" s="91">
        <v>10</v>
      </c>
      <c r="L22" s="62">
        <v>750</v>
      </c>
      <c r="M22" s="62">
        <v>750</v>
      </c>
      <c r="N22" s="62">
        <v>750</v>
      </c>
      <c r="O22" s="62">
        <v>750</v>
      </c>
      <c r="P22" s="62">
        <v>750</v>
      </c>
      <c r="Q22" s="63"/>
      <c r="R22" s="64" t="s">
        <v>196</v>
      </c>
      <c r="S22" s="65"/>
      <c r="T22" s="65"/>
      <c r="U22" s="65"/>
      <c r="V22" s="65"/>
      <c r="W22" s="60"/>
      <c r="X22" s="60"/>
      <c r="Y22" s="66" t="s">
        <v>4332</v>
      </c>
      <c r="Z22" s="67"/>
      <c r="AA22" s="145"/>
      <c r="AB22" s="68"/>
      <c r="AC22" s="68"/>
      <c r="AD22" s="70" t="s">
        <v>4426</v>
      </c>
      <c r="AE22" s="41" t="s">
        <v>4399</v>
      </c>
    </row>
    <row r="23" s="2" customFormat="1" ht="32" customHeight="1" spans="1:32">
      <c r="A23" s="59">
        <f t="shared" si="1"/>
        <v>20</v>
      </c>
      <c r="B23" s="60"/>
      <c r="C23" s="60"/>
      <c r="D23" s="60"/>
      <c r="E23" s="60"/>
      <c r="F23" s="61"/>
      <c r="G23" s="61"/>
      <c r="H23" s="61"/>
      <c r="I23" s="61"/>
      <c r="J23" s="60"/>
      <c r="K23" s="60"/>
      <c r="L23" s="62"/>
      <c r="M23" s="62"/>
      <c r="N23" s="62"/>
      <c r="O23" s="62"/>
      <c r="P23" s="62"/>
      <c r="Q23" s="63"/>
      <c r="R23" s="64"/>
      <c r="S23" s="65"/>
      <c r="T23" s="65"/>
      <c r="U23" s="65"/>
      <c r="V23" s="65"/>
      <c r="W23" s="60"/>
      <c r="X23" s="60"/>
      <c r="Y23" s="60"/>
      <c r="Z23" s="67"/>
      <c r="AA23" s="145"/>
      <c r="AB23" s="68"/>
      <c r="AC23" s="68"/>
      <c r="AD23" s="70"/>
      <c r="AE23" s="41"/>
    </row>
    <row r="24" s="3" customFormat="1" ht="30" customHeight="1" spans="1:32">
      <c r="A24" s="59">
        <f t="shared" si="1"/>
        <v>21</v>
      </c>
      <c r="B24" s="60"/>
      <c r="C24" s="60"/>
      <c r="D24" s="60"/>
      <c r="E24" s="60"/>
      <c r="F24" s="61"/>
      <c r="G24" s="61"/>
      <c r="H24" s="61"/>
      <c r="I24" s="61"/>
      <c r="J24" s="95"/>
      <c r="K24" s="95"/>
      <c r="L24" s="95"/>
      <c r="M24" s="95"/>
      <c r="N24" s="95"/>
      <c r="O24" s="95"/>
      <c r="P24" s="95"/>
      <c r="Q24" s="96"/>
      <c r="R24" s="96"/>
      <c r="S24" s="96"/>
      <c r="T24" s="96"/>
      <c r="U24" s="96"/>
      <c r="V24" s="96"/>
      <c r="W24" s="96"/>
      <c r="X24" s="96"/>
      <c r="Y24" s="97"/>
      <c r="Z24" s="97"/>
      <c r="AA24" s="97"/>
      <c r="AB24" s="97"/>
      <c r="AC24" s="97"/>
      <c r="AD24" s="178"/>
      <c r="AE24" s="159"/>
    </row>
    <row r="25" s="3" customFormat="1" ht="17.1" customHeight="1" spans="1:32">
      <c r="A25" s="93" t="s">
        <v>66</v>
      </c>
      <c r="B25" s="94"/>
      <c r="C25" s="94"/>
      <c r="D25" s="94"/>
      <c r="E25" s="94"/>
      <c r="F25" s="94"/>
      <c r="G25" s="94"/>
      <c r="H25" s="94"/>
      <c r="I25" s="94"/>
      <c r="J25" s="95">
        <f>SUM(J4:J4)</f>
        <v>0</v>
      </c>
      <c r="K25" s="95"/>
      <c r="L25" s="95">
        <f>SUM(L4:L24)</f>
        <v>20690</v>
      </c>
      <c r="M25" s="95">
        <f>SUM(M4:M24)</f>
        <v>20690</v>
      </c>
      <c r="N25" s="95">
        <f>SUM(N4:N24)</f>
        <v>20690</v>
      </c>
      <c r="O25" s="95">
        <f>SUM(O4:O24)</f>
        <v>20690</v>
      </c>
      <c r="P25" s="95">
        <f>SUM(P4:P24)</f>
        <v>20690</v>
      </c>
      <c r="Q25" s="96"/>
      <c r="R25" s="96"/>
      <c r="S25" s="96"/>
      <c r="T25" s="96"/>
      <c r="U25" s="96"/>
      <c r="V25" s="96"/>
      <c r="W25" s="96"/>
      <c r="X25" s="96"/>
      <c r="Y25" s="97"/>
      <c r="Z25" s="97"/>
      <c r="AA25" s="97"/>
      <c r="AB25" s="97"/>
      <c r="AC25" s="97"/>
      <c r="AD25" s="98"/>
    </row>
    <row r="26" s="4" customFormat="1" ht="17.1" customHeight="1" spans="1:32">
      <c r="A26" s="99"/>
      <c r="B26" s="100"/>
      <c r="C26" s="100"/>
      <c r="D26" s="100"/>
      <c r="E26" s="100"/>
      <c r="F26" s="100"/>
      <c r="G26" s="100"/>
      <c r="H26" s="100"/>
      <c r="I26" s="100"/>
      <c r="J26" s="134">
        <f>SUM(L26:P26)</f>
        <v>87700</v>
      </c>
      <c r="K26" s="100"/>
      <c r="L26" s="134">
        <f t="shared" ref="L26:P26" si="3">4200+2040+2000+5500+3800</f>
        <v>17540</v>
      </c>
      <c r="M26" s="134">
        <f t="shared" si="3"/>
        <v>17540</v>
      </c>
      <c r="N26" s="134">
        <f t="shared" si="3"/>
        <v>17540</v>
      </c>
      <c r="O26" s="134">
        <f t="shared" si="3"/>
        <v>17540</v>
      </c>
      <c r="P26" s="134">
        <f t="shared" si="3"/>
        <v>17540</v>
      </c>
      <c r="Q26" s="100"/>
      <c r="R26" s="100"/>
      <c r="S26" s="100"/>
      <c r="T26" s="100"/>
      <c r="U26" s="100"/>
      <c r="V26" s="100"/>
      <c r="W26" s="100"/>
      <c r="X26" s="100"/>
      <c r="Y26" s="100"/>
      <c r="Z26" s="101"/>
      <c r="AA26" s="101"/>
      <c r="AB26" s="101"/>
      <c r="AC26" s="101"/>
      <c r="AD26" s="102"/>
    </row>
    <row r="27" s="4" customFormat="1" ht="17.1" customHeight="1" spans="1:32">
      <c r="A27" s="103" t="s">
        <v>67</v>
      </c>
      <c r="B27" s="104"/>
      <c r="C27" s="104"/>
      <c r="D27" s="104"/>
      <c r="E27" s="104"/>
      <c r="F27" s="104"/>
      <c r="G27" s="104"/>
      <c r="H27" s="104"/>
      <c r="I27" s="104"/>
      <c r="J27" s="105">
        <f>SUM(L27:P27)</f>
        <v>-15750</v>
      </c>
      <c r="K27" s="104"/>
      <c r="L27" s="106">
        <f>L26-L25</f>
        <v>-3150</v>
      </c>
      <c r="M27" s="106">
        <f>M26-M25</f>
        <v>-3150</v>
      </c>
      <c r="N27" s="106">
        <f>N26-N25</f>
        <v>-3150</v>
      </c>
      <c r="O27" s="106">
        <f>O26-O25</f>
        <v>-3150</v>
      </c>
      <c r="P27" s="106">
        <f>P26-P25</f>
        <v>-3150</v>
      </c>
      <c r="Q27" s="107"/>
      <c r="R27" s="107"/>
      <c r="S27" s="107"/>
      <c r="T27" s="107"/>
      <c r="U27" s="107"/>
      <c r="V27" s="107"/>
      <c r="W27" s="107"/>
      <c r="X27" s="107"/>
      <c r="Y27" s="107"/>
      <c r="Z27" s="108"/>
      <c r="AA27" s="108"/>
      <c r="AB27" s="108"/>
      <c r="AC27" s="108"/>
      <c r="AD27" s="109"/>
    </row>
    <row r="28" customFormat="1" spans="1:32">
      <c r="B28" s="110" t="s">
        <v>68</v>
      </c>
      <c r="C28" s="110"/>
      <c r="D28" s="111"/>
      <c r="E28" s="111"/>
      <c r="F28" s="112"/>
      <c r="G28" s="112"/>
      <c r="H28" s="112"/>
      <c r="I28" s="112"/>
      <c r="Z28" s="113"/>
      <c r="AA28" s="113"/>
      <c r="AB28" s="113"/>
      <c r="AC28" s="114"/>
    </row>
  </sheetData>
  <autoFilter xmlns:etc="http://www.wps.cn/officeDocument/2017/etCustomData" ref="A3:AF28" etc:filterBottomFollowUsedRange="0">
    <filterColumn colId="28">
      <filters blank="1"/>
    </filterColumn>
    <extLst/>
  </autoFilter>
  <mergeCells count="32">
    <mergeCell ref="A1:Z1"/>
    <mergeCell ref="AA1:AB1"/>
    <mergeCell ref="AC1:AD1"/>
    <mergeCell ref="L2:P2"/>
    <mergeCell ref="A25:I25"/>
    <mergeCell ref="A26:I26"/>
    <mergeCell ref="A27:I2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27:P27">
    <cfRule type="cellIs" dxfId="0" priority="1" operator="lessThan">
      <formula>0</formula>
    </cfRule>
  </conditionalFormatting>
  <printOptions horizontalCentered="1"/>
  <pageMargins left="0.313888888888889" right="0.313888888888889" top="0.747916666666667" bottom="0.747916666666667" header="0.313888888888889" footer="0.313888888888889"/>
  <pageSetup paperSize="9" scale="57" orientation="landscape"/>
  <headerFooter/>
  <legacy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</sheetPr>
  <dimension ref="A1:AG59"/>
  <sheetViews>
    <sheetView workbookViewId="0">
      <pane xSplit="11" ySplit="3" topLeftCell="O44" activePane="bottomRight" state="frozen"/>
      <selection/>
      <selection pane="topRight"/>
      <selection pane="bottomLeft"/>
      <selection pane="bottomRight" activeCell="Z57" sqref="Z57"/>
    </sheetView>
  </sheetViews>
  <sheetFormatPr defaultColWidth="9" defaultRowHeight="14.25"/>
  <cols>
    <col min="1" max="1" width="3.125" style="6" customWidth="1"/>
    <col min="2" max="2" width="8.625" style="6" customWidth="1"/>
    <col min="3" max="3" width="8.375" style="6" customWidth="1"/>
    <col min="4" max="4" width="12.125" style="6" customWidth="1"/>
    <col min="5" max="5" width="9.625" style="6" customWidth="1"/>
    <col min="6" max="9" width="5.125" style="7" customWidth="1"/>
    <col min="10" max="10" width="7.875" style="6" customWidth="1"/>
    <col min="11" max="11" width="4.875" style="6" customWidth="1"/>
    <col min="12" max="12" width="7.625" style="6" customWidth="1"/>
    <col min="13" max="16" width="6.625" style="6" customWidth="1"/>
    <col min="17" max="17" width="8.125" style="6" customWidth="1"/>
    <col min="18" max="18" width="4.875" style="6" customWidth="1"/>
    <col min="19" max="24" width="5.375" style="6" customWidth="1"/>
    <col min="25" max="25" width="8.875" style="6" customWidth="1"/>
    <col min="26" max="26" width="25.125" style="6" customWidth="1"/>
    <col min="27" max="27" width="8.625" style="8" customWidth="1"/>
    <col min="28" max="30" width="9" style="8" customWidth="1"/>
    <col min="31" max="31" width="15.125" style="6" customWidth="1"/>
    <col min="32" max="32" width="17.625" style="2" customWidth="1"/>
    <col min="33" max="33" width="9.25" style="6" customWidth="1"/>
    <col min="34" max="16384" width="9" style="6"/>
  </cols>
  <sheetData>
    <row r="1" ht="35.1" customHeight="1" spans="1:33">
      <c r="A1" s="9" t="s">
        <v>4427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1" t="s">
        <v>1</v>
      </c>
      <c r="AC1" s="11"/>
      <c r="AD1" s="12">
        <f ca="1">TODAY()</f>
        <v>46277</v>
      </c>
      <c r="AE1" s="13"/>
    </row>
    <row r="2" s="1" customFormat="1" ht="21.95" customHeight="1" spans="1:33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20" t="s">
        <v>15</v>
      </c>
      <c r="S2" s="21" t="s">
        <v>4020</v>
      </c>
      <c r="T2" s="22" t="s">
        <v>1082</v>
      </c>
      <c r="U2" s="22" t="s">
        <v>4428</v>
      </c>
      <c r="V2" s="23" t="s">
        <v>4021</v>
      </c>
      <c r="W2" s="23" t="s">
        <v>178</v>
      </c>
      <c r="X2" s="21" t="s">
        <v>19</v>
      </c>
      <c r="Y2" s="21" t="s">
        <v>20</v>
      </c>
      <c r="Z2" s="24" t="s">
        <v>21</v>
      </c>
      <c r="AA2" s="25" t="s">
        <v>22</v>
      </c>
      <c r="AB2" s="26" t="s">
        <v>23</v>
      </c>
      <c r="AC2" s="26" t="s">
        <v>24</v>
      </c>
      <c r="AD2" s="26" t="s">
        <v>25</v>
      </c>
      <c r="AE2" s="27" t="s">
        <v>26</v>
      </c>
      <c r="AF2" s="159" t="s">
        <v>65</v>
      </c>
    </row>
    <row r="3" s="1" customFormat="1" ht="31.5" customHeight="1" spans="1:33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4037</v>
      </c>
      <c r="M3" s="30" t="s">
        <v>4038</v>
      </c>
      <c r="N3" s="30" t="s">
        <v>4039</v>
      </c>
      <c r="O3" s="30" t="s">
        <v>4040</v>
      </c>
      <c r="P3" s="30" t="s">
        <v>4041</v>
      </c>
      <c r="Q3" s="19"/>
      <c r="R3" s="31"/>
      <c r="S3" s="21"/>
      <c r="T3" s="32"/>
      <c r="U3" s="32"/>
      <c r="V3" s="33"/>
      <c r="W3" s="33"/>
      <c r="X3" s="21"/>
      <c r="Y3" s="21"/>
      <c r="Z3" s="24"/>
      <c r="AA3" s="25"/>
      <c r="AB3" s="26"/>
      <c r="AC3" s="26"/>
      <c r="AD3" s="26"/>
      <c r="AE3" s="27"/>
      <c r="AF3" s="159"/>
    </row>
    <row r="4" s="2" customFormat="1" ht="35.1" hidden="1" customHeight="1" spans="1:33">
      <c r="A4" s="34">
        <f t="shared" ref="A4:A22" si="0">ROW()-3</f>
        <v>1</v>
      </c>
      <c r="B4" s="35" t="s">
        <v>485</v>
      </c>
      <c r="C4" s="35" t="s">
        <v>486</v>
      </c>
      <c r="D4" s="35" t="s">
        <v>4429</v>
      </c>
      <c r="E4" s="35"/>
      <c r="F4" s="36">
        <v>45944</v>
      </c>
      <c r="G4" s="36">
        <v>46018</v>
      </c>
      <c r="H4" s="36">
        <v>46018</v>
      </c>
      <c r="I4" s="36">
        <v>45957</v>
      </c>
      <c r="J4" s="35">
        <f t="shared" ref="J4:J9" si="1">SUBTOTAL(9,L4:P4)</f>
        <v>0</v>
      </c>
      <c r="K4" s="35">
        <v>10</v>
      </c>
      <c r="L4" s="37">
        <v>3000</v>
      </c>
      <c r="M4" s="37">
        <v>3000</v>
      </c>
      <c r="N4" s="37">
        <v>3000</v>
      </c>
      <c r="O4" s="37">
        <v>3000</v>
      </c>
      <c r="P4" s="37">
        <v>3000</v>
      </c>
      <c r="Q4" s="35" t="s">
        <v>809</v>
      </c>
      <c r="R4" s="35" t="s">
        <v>81</v>
      </c>
      <c r="S4" s="38" t="s">
        <v>4430</v>
      </c>
      <c r="T4" s="38" t="s">
        <v>4351</v>
      </c>
      <c r="U4" s="38" t="s">
        <v>4351</v>
      </c>
      <c r="V4" s="38" t="s">
        <v>4351</v>
      </c>
      <c r="W4" s="38"/>
      <c r="X4" s="35" t="s">
        <v>1097</v>
      </c>
      <c r="Y4" s="35" t="s">
        <v>809</v>
      </c>
      <c r="Z4" s="35" t="s">
        <v>4431</v>
      </c>
      <c r="AA4" s="39">
        <v>46016</v>
      </c>
      <c r="AB4" s="39">
        <v>46016</v>
      </c>
      <c r="AC4" s="39"/>
      <c r="AD4" s="39">
        <v>46026</v>
      </c>
      <c r="AE4" s="40" t="s">
        <v>4432</v>
      </c>
      <c r="AF4" s="160" t="s">
        <v>4433</v>
      </c>
    </row>
    <row r="5" s="2" customFormat="1" ht="33.75" hidden="1" customHeight="1" spans="1:33">
      <c r="A5" s="34">
        <f t="shared" si="0"/>
        <v>2</v>
      </c>
      <c r="B5" s="35" t="s">
        <v>2890</v>
      </c>
      <c r="C5" s="35" t="s">
        <v>1882</v>
      </c>
      <c r="D5" s="35" t="s">
        <v>4434</v>
      </c>
      <c r="E5" s="35"/>
      <c r="F5" s="36">
        <v>45875</v>
      </c>
      <c r="G5" s="36">
        <v>46035</v>
      </c>
      <c r="H5" s="36">
        <v>46035</v>
      </c>
      <c r="I5" s="36">
        <v>45883</v>
      </c>
      <c r="J5" s="35">
        <f t="shared" si="1"/>
        <v>0</v>
      </c>
      <c r="K5" s="35">
        <v>10</v>
      </c>
      <c r="L5" s="37">
        <v>1500</v>
      </c>
      <c r="M5" s="37">
        <f>$L5</f>
        <v>1500</v>
      </c>
      <c r="N5" s="37">
        <f>$L5</f>
        <v>1500</v>
      </c>
      <c r="O5" s="37">
        <f>$L5</f>
        <v>1500</v>
      </c>
      <c r="P5" s="37">
        <f>$L5</f>
        <v>1500</v>
      </c>
      <c r="Q5" s="35" t="s">
        <v>1084</v>
      </c>
      <c r="R5" s="35" t="s">
        <v>81</v>
      </c>
      <c r="S5" s="38" t="s">
        <v>4435</v>
      </c>
      <c r="T5" s="38" t="s">
        <v>4435</v>
      </c>
      <c r="U5" s="38" t="s">
        <v>4435</v>
      </c>
      <c r="V5" s="38" t="s">
        <v>4435</v>
      </c>
      <c r="W5" s="38"/>
      <c r="X5" s="35" t="s">
        <v>905</v>
      </c>
      <c r="Y5" s="35" t="s">
        <v>1084</v>
      </c>
      <c r="Z5" s="35" t="s">
        <v>4436</v>
      </c>
      <c r="AA5" s="43">
        <v>46035</v>
      </c>
      <c r="AB5" s="39">
        <v>46034</v>
      </c>
      <c r="AC5" s="44">
        <v>46035</v>
      </c>
      <c r="AD5" s="39">
        <v>46049</v>
      </c>
      <c r="AE5" s="40" t="s">
        <v>4437</v>
      </c>
      <c r="AF5" s="2" t="s">
        <v>4433</v>
      </c>
    </row>
    <row r="6" s="2" customFormat="1" ht="36" hidden="1" customHeight="1" spans="1:33">
      <c r="A6" s="34">
        <f t="shared" si="0"/>
        <v>3</v>
      </c>
      <c r="B6" s="35" t="s">
        <v>2890</v>
      </c>
      <c r="C6" s="35" t="s">
        <v>1882</v>
      </c>
      <c r="D6" s="35" t="s">
        <v>4438</v>
      </c>
      <c r="E6" s="35"/>
      <c r="F6" s="36">
        <v>45926</v>
      </c>
      <c r="G6" s="36">
        <v>46042</v>
      </c>
      <c r="H6" s="36">
        <v>46042</v>
      </c>
      <c r="I6" s="36">
        <v>45952</v>
      </c>
      <c r="J6" s="35">
        <f t="shared" si="1"/>
        <v>0</v>
      </c>
      <c r="K6" s="35">
        <v>10</v>
      </c>
      <c r="L6" s="37">
        <v>1000</v>
      </c>
      <c r="M6" s="37">
        <v>1000</v>
      </c>
      <c r="N6" s="37">
        <v>1000</v>
      </c>
      <c r="O6" s="37">
        <v>1000</v>
      </c>
      <c r="P6" s="37">
        <v>1000</v>
      </c>
      <c r="Q6" s="35" t="s">
        <v>809</v>
      </c>
      <c r="R6" s="35" t="s">
        <v>81</v>
      </c>
      <c r="S6" s="38" t="s">
        <v>4439</v>
      </c>
      <c r="T6" s="38" t="s">
        <v>4351</v>
      </c>
      <c r="U6" s="38" t="s">
        <v>4351</v>
      </c>
      <c r="V6" s="38" t="s">
        <v>4351</v>
      </c>
      <c r="W6" s="38"/>
      <c r="X6" s="35" t="s">
        <v>905</v>
      </c>
      <c r="Y6" s="35" t="s">
        <v>4440</v>
      </c>
      <c r="Z6" s="35" t="s">
        <v>4441</v>
      </c>
      <c r="AA6" s="39">
        <v>46042</v>
      </c>
      <c r="AB6" s="39">
        <v>46041</v>
      </c>
      <c r="AC6" s="44">
        <v>46048</v>
      </c>
      <c r="AD6" s="44">
        <v>46056</v>
      </c>
      <c r="AE6" s="40">
        <v>2536168</v>
      </c>
      <c r="AF6" s="160" t="s">
        <v>4433</v>
      </c>
    </row>
    <row r="7" s="2" customFormat="1" ht="36" hidden="1" customHeight="1" spans="1:33">
      <c r="A7" s="34">
        <f t="shared" si="0"/>
        <v>4</v>
      </c>
      <c r="B7" s="35" t="s">
        <v>4349</v>
      </c>
      <c r="C7" s="35" t="s">
        <v>1674</v>
      </c>
      <c r="D7" s="35" t="s">
        <v>4442</v>
      </c>
      <c r="E7" s="35"/>
      <c r="F7" s="36">
        <v>45958</v>
      </c>
      <c r="G7" s="36">
        <v>46042</v>
      </c>
      <c r="H7" s="36">
        <v>46042</v>
      </c>
      <c r="I7" s="36">
        <v>45994</v>
      </c>
      <c r="J7" s="35">
        <f t="shared" si="1"/>
        <v>0</v>
      </c>
      <c r="K7" s="35">
        <v>10</v>
      </c>
      <c r="L7" s="37">
        <v>600</v>
      </c>
      <c r="M7" s="37">
        <v>600</v>
      </c>
      <c r="N7" s="37">
        <v>600</v>
      </c>
      <c r="O7" s="37">
        <v>600</v>
      </c>
      <c r="P7" s="37">
        <v>600</v>
      </c>
      <c r="Q7" s="35" t="s">
        <v>809</v>
      </c>
      <c r="R7" s="45" t="s">
        <v>104</v>
      </c>
      <c r="S7" s="38" t="s">
        <v>4351</v>
      </c>
      <c r="T7" s="38" t="s">
        <v>4351</v>
      </c>
      <c r="U7" s="38" t="s">
        <v>4351</v>
      </c>
      <c r="V7" s="38" t="s">
        <v>4351</v>
      </c>
      <c r="W7" s="38"/>
      <c r="X7" s="35" t="s">
        <v>905</v>
      </c>
      <c r="Y7" s="35" t="s">
        <v>809</v>
      </c>
      <c r="Z7" s="35" t="s">
        <v>4353</v>
      </c>
      <c r="AA7" s="39">
        <v>46040</v>
      </c>
      <c r="AB7" s="39">
        <v>46042</v>
      </c>
      <c r="AC7" s="39"/>
      <c r="AD7" s="39">
        <v>46058</v>
      </c>
      <c r="AE7" s="40">
        <v>4504147612</v>
      </c>
      <c r="AF7" s="160" t="s">
        <v>4433</v>
      </c>
    </row>
    <row r="8" s="2" customFormat="1" ht="27.95" hidden="1" customHeight="1" spans="1:33">
      <c r="A8" s="34">
        <f t="shared" si="0"/>
        <v>5</v>
      </c>
      <c r="B8" s="35" t="s">
        <v>270</v>
      </c>
      <c r="C8" s="35" t="s">
        <v>271</v>
      </c>
      <c r="D8" s="35" t="s">
        <v>4362</v>
      </c>
      <c r="E8" s="35" t="s">
        <v>4363</v>
      </c>
      <c r="F8" s="36">
        <v>46006</v>
      </c>
      <c r="G8" s="36">
        <v>46090</v>
      </c>
      <c r="H8" s="36">
        <v>46090</v>
      </c>
      <c r="I8" s="36">
        <v>46038</v>
      </c>
      <c r="J8" s="35">
        <f t="shared" si="1"/>
        <v>0</v>
      </c>
      <c r="K8" s="35">
        <v>10</v>
      </c>
      <c r="L8" s="37">
        <v>300</v>
      </c>
      <c r="M8" s="37">
        <v>300</v>
      </c>
      <c r="N8" s="37">
        <v>300</v>
      </c>
      <c r="O8" s="37">
        <v>300</v>
      </c>
      <c r="P8" s="37">
        <v>300</v>
      </c>
      <c r="Q8" s="35" t="s">
        <v>4364</v>
      </c>
      <c r="R8" s="45" t="s">
        <v>104</v>
      </c>
      <c r="S8" s="38" t="s">
        <v>4365</v>
      </c>
      <c r="T8" s="38" t="s">
        <v>4352</v>
      </c>
      <c r="U8" s="38" t="s">
        <v>4365</v>
      </c>
      <c r="V8" s="38" t="s">
        <v>3735</v>
      </c>
      <c r="W8" s="38"/>
      <c r="X8" s="35" t="s">
        <v>2099</v>
      </c>
      <c r="Y8" s="35" t="s">
        <v>4364</v>
      </c>
      <c r="Z8" s="35" t="s">
        <v>4366</v>
      </c>
      <c r="AA8" s="39">
        <v>46088</v>
      </c>
      <c r="AB8" s="44">
        <v>46114</v>
      </c>
      <c r="AC8" s="39"/>
      <c r="AD8" s="39">
        <v>46155</v>
      </c>
      <c r="AE8" s="40" t="s">
        <v>4367</v>
      </c>
      <c r="AF8" s="160" t="s">
        <v>4433</v>
      </c>
    </row>
    <row r="9" s="2" customFormat="1" ht="27.95" hidden="1" customHeight="1" spans="1:33">
      <c r="A9" s="34">
        <f t="shared" si="0"/>
        <v>6</v>
      </c>
      <c r="B9" s="35" t="s">
        <v>270</v>
      </c>
      <c r="C9" s="35" t="s">
        <v>271</v>
      </c>
      <c r="D9" s="35" t="s">
        <v>4368</v>
      </c>
      <c r="E9" s="35" t="s">
        <v>4369</v>
      </c>
      <c r="F9" s="36">
        <v>46006</v>
      </c>
      <c r="G9" s="36">
        <v>46088</v>
      </c>
      <c r="H9" s="36">
        <v>46088</v>
      </c>
      <c r="I9" s="36">
        <v>46087</v>
      </c>
      <c r="J9" s="35">
        <f t="shared" si="1"/>
        <v>0</v>
      </c>
      <c r="K9" s="35">
        <v>10</v>
      </c>
      <c r="L9" s="37">
        <v>200</v>
      </c>
      <c r="M9" s="37">
        <v>200</v>
      </c>
      <c r="N9" s="37">
        <v>200</v>
      </c>
      <c r="O9" s="37">
        <v>200</v>
      </c>
      <c r="P9" s="37">
        <v>200</v>
      </c>
      <c r="Q9" s="35" t="s">
        <v>4364</v>
      </c>
      <c r="R9" s="45" t="s">
        <v>104</v>
      </c>
      <c r="S9" s="38" t="s">
        <v>4365</v>
      </c>
      <c r="T9" s="38" t="s">
        <v>4352</v>
      </c>
      <c r="U9" s="38" t="s">
        <v>4365</v>
      </c>
      <c r="V9" s="38" t="s">
        <v>3735</v>
      </c>
      <c r="W9" s="38"/>
      <c r="X9" s="35" t="s">
        <v>4370</v>
      </c>
      <c r="Y9" s="35" t="s">
        <v>4364</v>
      </c>
      <c r="Z9" s="35" t="s">
        <v>4366</v>
      </c>
      <c r="AA9" s="39">
        <v>46086</v>
      </c>
      <c r="AB9" s="44">
        <v>46114</v>
      </c>
      <c r="AC9" s="39"/>
      <c r="AD9" s="39">
        <v>46155</v>
      </c>
      <c r="AE9" s="40" t="s">
        <v>4371</v>
      </c>
      <c r="AF9" s="160" t="s">
        <v>4433</v>
      </c>
    </row>
    <row r="10" s="2" customFormat="1" ht="36" hidden="1" customHeight="1" spans="1:33">
      <c r="A10" s="34">
        <f t="shared" si="0"/>
        <v>7</v>
      </c>
      <c r="B10" s="35" t="s">
        <v>2890</v>
      </c>
      <c r="C10" s="35" t="s">
        <v>1674</v>
      </c>
      <c r="D10" s="35" t="s">
        <v>4443</v>
      </c>
      <c r="E10" s="35" t="s">
        <v>4444</v>
      </c>
      <c r="F10" s="36">
        <v>46041</v>
      </c>
      <c r="G10" s="36">
        <v>46126</v>
      </c>
      <c r="H10" s="36">
        <v>46126</v>
      </c>
      <c r="I10" s="36">
        <v>46059</v>
      </c>
      <c r="J10" s="35">
        <f>SUM(L10:P10)</f>
        <v>30000</v>
      </c>
      <c r="K10" s="35">
        <v>10</v>
      </c>
      <c r="L10" s="37">
        <v>6000</v>
      </c>
      <c r="M10" s="37">
        <v>6000</v>
      </c>
      <c r="N10" s="37">
        <v>6000</v>
      </c>
      <c r="O10" s="37">
        <v>6000</v>
      </c>
      <c r="P10" s="37">
        <v>6000</v>
      </c>
      <c r="Q10" s="35" t="s">
        <v>127</v>
      </c>
      <c r="R10" s="46" t="s">
        <v>104</v>
      </c>
      <c r="S10" s="38" t="s">
        <v>730</v>
      </c>
      <c r="T10" s="38" t="s">
        <v>3735</v>
      </c>
      <c r="U10" s="38" t="s">
        <v>730</v>
      </c>
      <c r="V10" s="38" t="s">
        <v>3735</v>
      </c>
      <c r="W10" s="38"/>
      <c r="X10" s="38" t="s">
        <v>730</v>
      </c>
      <c r="Y10" s="35" t="s">
        <v>127</v>
      </c>
      <c r="Z10" s="35" t="s">
        <v>4201</v>
      </c>
      <c r="AA10" s="39">
        <v>46126</v>
      </c>
      <c r="AB10" s="44">
        <v>46121</v>
      </c>
      <c r="AC10" s="39">
        <v>46142</v>
      </c>
      <c r="AD10" s="39" t="s">
        <v>4445</v>
      </c>
      <c r="AE10" s="40">
        <v>2581424</v>
      </c>
      <c r="AF10" s="41" t="s">
        <v>4446</v>
      </c>
      <c r="AG10" s="2" t="s">
        <v>1607</v>
      </c>
    </row>
    <row r="11" s="2" customFormat="1" ht="36" hidden="1" customHeight="1" spans="1:33">
      <c r="A11" s="47">
        <f t="shared" si="0"/>
        <v>8</v>
      </c>
      <c r="B11" s="37" t="s">
        <v>359</v>
      </c>
      <c r="C11" s="37" t="s">
        <v>360</v>
      </c>
      <c r="D11" s="37" t="s">
        <v>4302</v>
      </c>
      <c r="E11" s="37" t="s">
        <v>4303</v>
      </c>
      <c r="F11" s="56">
        <v>46079</v>
      </c>
      <c r="G11" s="56">
        <v>46154</v>
      </c>
      <c r="H11" s="56">
        <v>46154</v>
      </c>
      <c r="I11" s="56">
        <v>46085</v>
      </c>
      <c r="J11" s="37">
        <f>SUM(L11:P11)</f>
        <v>10000</v>
      </c>
      <c r="K11" s="37">
        <v>10</v>
      </c>
      <c r="L11" s="37">
        <v>2000</v>
      </c>
      <c r="M11" s="37">
        <v>2000</v>
      </c>
      <c r="N11" s="37">
        <v>2000</v>
      </c>
      <c r="O11" s="37">
        <v>2000</v>
      </c>
      <c r="P11" s="37">
        <v>2000</v>
      </c>
      <c r="Q11" s="37" t="s">
        <v>2495</v>
      </c>
      <c r="R11" s="46" t="s">
        <v>104</v>
      </c>
      <c r="S11" s="54" t="s">
        <v>4154</v>
      </c>
      <c r="T11" s="54" t="s">
        <v>3735</v>
      </c>
      <c r="U11" s="54" t="s">
        <v>4154</v>
      </c>
      <c r="V11" s="54" t="s">
        <v>3735</v>
      </c>
      <c r="W11" s="54"/>
      <c r="X11" s="37" t="s">
        <v>3417</v>
      </c>
      <c r="Y11" s="37" t="s">
        <v>2495</v>
      </c>
      <c r="Z11" s="37" t="s">
        <v>4304</v>
      </c>
      <c r="AA11" s="44">
        <v>46154</v>
      </c>
      <c r="AB11" s="44">
        <v>46150</v>
      </c>
      <c r="AC11" s="44"/>
      <c r="AD11" s="44" t="s">
        <v>4447</v>
      </c>
      <c r="AE11" s="55" t="s">
        <v>4305</v>
      </c>
      <c r="AF11" s="41" t="s">
        <v>4446</v>
      </c>
      <c r="AG11" s="2" t="s">
        <v>1610</v>
      </c>
    </row>
    <row r="12" s="2" customFormat="1" ht="42" hidden="1" customHeight="1" spans="1:33">
      <c r="A12" s="47">
        <f t="shared" si="0"/>
        <v>9</v>
      </c>
      <c r="B12" s="37" t="s">
        <v>2890</v>
      </c>
      <c r="C12" s="37" t="s">
        <v>1674</v>
      </c>
      <c r="D12" s="37" t="s">
        <v>4448</v>
      </c>
      <c r="E12" s="37" t="s">
        <v>4449</v>
      </c>
      <c r="F12" s="56">
        <v>46079</v>
      </c>
      <c r="G12" s="56">
        <v>46158</v>
      </c>
      <c r="H12" s="56">
        <v>46158</v>
      </c>
      <c r="I12" s="56">
        <v>46106</v>
      </c>
      <c r="J12" s="37">
        <f>SUM(L12:P12)</f>
        <v>25180</v>
      </c>
      <c r="K12" s="37">
        <v>10</v>
      </c>
      <c r="L12" s="37">
        <v>5036</v>
      </c>
      <c r="M12" s="37">
        <v>5036</v>
      </c>
      <c r="N12" s="37">
        <v>5036</v>
      </c>
      <c r="O12" s="37">
        <v>5036</v>
      </c>
      <c r="P12" s="37">
        <v>5036</v>
      </c>
      <c r="Q12" s="37" t="s">
        <v>2495</v>
      </c>
      <c r="R12" s="46" t="s">
        <v>104</v>
      </c>
      <c r="S12" s="54" t="s">
        <v>4154</v>
      </c>
      <c r="T12" s="54" t="s">
        <v>3735</v>
      </c>
      <c r="U12" s="54" t="s">
        <v>4154</v>
      </c>
      <c r="V12" s="54" t="s">
        <v>3735</v>
      </c>
      <c r="W12" s="54"/>
      <c r="X12" s="37" t="s">
        <v>3417</v>
      </c>
      <c r="Y12" s="37" t="s">
        <v>2495</v>
      </c>
      <c r="Z12" s="37" t="s">
        <v>4201</v>
      </c>
      <c r="AA12" s="44">
        <v>46158</v>
      </c>
      <c r="AB12" s="44">
        <v>46150</v>
      </c>
      <c r="AC12" s="44">
        <v>46164</v>
      </c>
      <c r="AD12" s="44" t="s">
        <v>4450</v>
      </c>
      <c r="AE12" s="55">
        <v>2592513</v>
      </c>
      <c r="AF12" s="41" t="s">
        <v>4446</v>
      </c>
      <c r="AG12" s="2" t="s">
        <v>1610</v>
      </c>
    </row>
    <row r="13" s="2" customFormat="1" ht="27.95" hidden="1" customHeight="1" spans="1:33">
      <c r="A13" s="47">
        <f t="shared" si="0"/>
        <v>10</v>
      </c>
      <c r="B13" s="48" t="s">
        <v>740</v>
      </c>
      <c r="C13" s="49" t="s">
        <v>741</v>
      </c>
      <c r="D13" s="50" t="s">
        <v>742</v>
      </c>
      <c r="E13" s="51" t="s">
        <v>743</v>
      </c>
      <c r="F13" s="52">
        <v>46083</v>
      </c>
      <c r="G13" s="52">
        <v>46165</v>
      </c>
      <c r="H13" s="52">
        <v>46165</v>
      </c>
      <c r="I13" s="53">
        <v>46133</v>
      </c>
      <c r="J13" s="37">
        <f t="shared" ref="J13:J16" si="2">SUBTOTAL(9,L13:P13)</f>
        <v>0</v>
      </c>
      <c r="K13" s="37">
        <v>10</v>
      </c>
      <c r="L13" s="37">
        <v>360</v>
      </c>
      <c r="M13" s="37">
        <v>360</v>
      </c>
      <c r="N13" s="37">
        <v>360</v>
      </c>
      <c r="O13" s="37">
        <v>360</v>
      </c>
      <c r="P13" s="37">
        <v>360</v>
      </c>
      <c r="Q13" s="37" t="s">
        <v>2495</v>
      </c>
      <c r="R13" s="46" t="s">
        <v>104</v>
      </c>
      <c r="S13" s="54" t="s">
        <v>4083</v>
      </c>
      <c r="T13" s="54" t="s">
        <v>4083</v>
      </c>
      <c r="U13" s="54" t="s">
        <v>4083</v>
      </c>
      <c r="V13" s="54" t="s">
        <v>4084</v>
      </c>
      <c r="W13" s="54"/>
      <c r="X13" s="37" t="s">
        <v>744</v>
      </c>
      <c r="Y13" s="37" t="s">
        <v>2495</v>
      </c>
      <c r="Z13" s="37" t="s">
        <v>4218</v>
      </c>
      <c r="AA13" s="44">
        <v>46165</v>
      </c>
      <c r="AB13" s="44">
        <v>46169</v>
      </c>
      <c r="AC13" s="44"/>
      <c r="AD13" s="44">
        <v>46174</v>
      </c>
      <c r="AE13" s="55">
        <v>740</v>
      </c>
      <c r="AF13" s="41" t="s">
        <v>4446</v>
      </c>
      <c r="AG13" s="2" t="s">
        <v>2533</v>
      </c>
    </row>
    <row r="14" s="2" customFormat="1" ht="27.95" hidden="1" customHeight="1" spans="1:33">
      <c r="A14" s="47">
        <f t="shared" si="0"/>
        <v>11</v>
      </c>
      <c r="B14" s="37" t="s">
        <v>2372</v>
      </c>
      <c r="C14" s="37" t="s">
        <v>726</v>
      </c>
      <c r="D14" s="37" t="s">
        <v>4451</v>
      </c>
      <c r="E14" s="37" t="s">
        <v>4452</v>
      </c>
      <c r="F14" s="56">
        <v>46087</v>
      </c>
      <c r="G14" s="56">
        <v>46169</v>
      </c>
      <c r="H14" s="56">
        <v>46169</v>
      </c>
      <c r="I14" s="56">
        <v>46104</v>
      </c>
      <c r="J14" s="37">
        <f t="shared" si="2"/>
        <v>0</v>
      </c>
      <c r="K14" s="37">
        <v>10</v>
      </c>
      <c r="L14" s="37">
        <v>3474</v>
      </c>
      <c r="M14" s="37">
        <v>3474</v>
      </c>
      <c r="N14" s="37">
        <v>3474</v>
      </c>
      <c r="O14" s="37">
        <v>3474</v>
      </c>
      <c r="P14" s="37">
        <v>3474</v>
      </c>
      <c r="Q14" s="37" t="s">
        <v>2495</v>
      </c>
      <c r="R14" s="46" t="s">
        <v>104</v>
      </c>
      <c r="S14" s="54" t="s">
        <v>4083</v>
      </c>
      <c r="T14" s="54" t="s">
        <v>4083</v>
      </c>
      <c r="U14" s="54" t="s">
        <v>4083</v>
      </c>
      <c r="V14" s="54" t="s">
        <v>4084</v>
      </c>
      <c r="W14" s="54"/>
      <c r="X14" s="37" t="s">
        <v>1136</v>
      </c>
      <c r="Y14" s="37" t="s">
        <v>2495</v>
      </c>
      <c r="Z14" s="37" t="s">
        <v>4453</v>
      </c>
      <c r="AA14" s="44">
        <v>46169</v>
      </c>
      <c r="AB14" s="44">
        <v>46171</v>
      </c>
      <c r="AC14" s="44"/>
      <c r="AD14" s="44">
        <v>46183</v>
      </c>
      <c r="AE14" s="55" t="s">
        <v>4454</v>
      </c>
      <c r="AF14" s="41" t="s">
        <v>4455</v>
      </c>
      <c r="AG14" s="2" t="s">
        <v>3235</v>
      </c>
    </row>
    <row r="15" s="2" customFormat="1" ht="27.95" hidden="1" customHeight="1" spans="1:33">
      <c r="A15" s="47">
        <f t="shared" si="0"/>
        <v>12</v>
      </c>
      <c r="B15" s="37" t="s">
        <v>2372</v>
      </c>
      <c r="C15" s="37" t="s">
        <v>726</v>
      </c>
      <c r="D15" s="37" t="s">
        <v>4456</v>
      </c>
      <c r="E15" s="37" t="s">
        <v>4452</v>
      </c>
      <c r="F15" s="56">
        <v>46087</v>
      </c>
      <c r="G15" s="56">
        <v>46169</v>
      </c>
      <c r="H15" s="56">
        <v>46169</v>
      </c>
      <c r="I15" s="56">
        <v>46104</v>
      </c>
      <c r="J15" s="37">
        <f t="shared" si="2"/>
        <v>0</v>
      </c>
      <c r="K15" s="37">
        <v>10</v>
      </c>
      <c r="L15" s="37">
        <v>3474</v>
      </c>
      <c r="M15" s="37">
        <v>3474</v>
      </c>
      <c r="N15" s="37">
        <v>3474</v>
      </c>
      <c r="O15" s="37">
        <v>3474</v>
      </c>
      <c r="P15" s="37">
        <v>3474</v>
      </c>
      <c r="Q15" s="37" t="s">
        <v>2495</v>
      </c>
      <c r="R15" s="46" t="s">
        <v>104</v>
      </c>
      <c r="S15" s="54" t="s">
        <v>4083</v>
      </c>
      <c r="T15" s="54" t="s">
        <v>4083</v>
      </c>
      <c r="U15" s="54" t="s">
        <v>4083</v>
      </c>
      <c r="V15" s="54" t="s">
        <v>4084</v>
      </c>
      <c r="W15" s="54"/>
      <c r="X15" s="37" t="s">
        <v>1072</v>
      </c>
      <c r="Y15" s="37" t="s">
        <v>2495</v>
      </c>
      <c r="Z15" s="37" t="s">
        <v>4453</v>
      </c>
      <c r="AA15" s="44">
        <v>46169</v>
      </c>
      <c r="AB15" s="44">
        <v>46171</v>
      </c>
      <c r="AC15" s="44"/>
      <c r="AD15" s="44">
        <v>46183</v>
      </c>
      <c r="AE15" s="1296" t="s">
        <v>4457</v>
      </c>
      <c r="AF15" s="41" t="s">
        <v>4455</v>
      </c>
      <c r="AG15" s="2" t="s">
        <v>3235</v>
      </c>
    </row>
    <row r="16" s="2" customFormat="1" ht="30" hidden="1" customHeight="1" spans="1:33">
      <c r="A16" s="47">
        <f t="shared" si="0"/>
        <v>13</v>
      </c>
      <c r="B16" s="37" t="s">
        <v>359</v>
      </c>
      <c r="C16" s="37" t="s">
        <v>360</v>
      </c>
      <c r="D16" s="37" t="s">
        <v>4319</v>
      </c>
      <c r="E16" s="37" t="s">
        <v>4320</v>
      </c>
      <c r="F16" s="56">
        <v>46140</v>
      </c>
      <c r="G16" s="56">
        <v>46175</v>
      </c>
      <c r="H16" s="56">
        <v>46175</v>
      </c>
      <c r="I16" s="56">
        <v>46147</v>
      </c>
      <c r="J16" s="37">
        <f t="shared" si="2"/>
        <v>0</v>
      </c>
      <c r="K16" s="37">
        <v>10</v>
      </c>
      <c r="L16" s="37">
        <v>100</v>
      </c>
      <c r="M16" s="37">
        <v>100</v>
      </c>
      <c r="N16" s="37">
        <v>100</v>
      </c>
      <c r="O16" s="37">
        <v>100</v>
      </c>
      <c r="P16" s="37">
        <v>100</v>
      </c>
      <c r="Q16" s="37" t="s">
        <v>499</v>
      </c>
      <c r="R16" s="46" t="s">
        <v>104</v>
      </c>
      <c r="S16" s="54" t="s">
        <v>526</v>
      </c>
      <c r="T16" s="54" t="s">
        <v>526</v>
      </c>
      <c r="U16" s="54" t="s">
        <v>526</v>
      </c>
      <c r="V16" s="54" t="s">
        <v>1184</v>
      </c>
      <c r="W16" s="54"/>
      <c r="X16" s="54" t="s">
        <v>144</v>
      </c>
      <c r="Y16" s="37" t="s">
        <v>499</v>
      </c>
      <c r="Z16" s="37" t="s">
        <v>4250</v>
      </c>
      <c r="AA16" s="44">
        <v>46174</v>
      </c>
      <c r="AB16" s="44">
        <v>46178</v>
      </c>
      <c r="AC16" s="44"/>
      <c r="AD16" s="44">
        <v>46184</v>
      </c>
      <c r="AE16" s="55" t="s">
        <v>1771</v>
      </c>
      <c r="AF16" s="41" t="s">
        <v>4455</v>
      </c>
      <c r="AG16" s="2" t="s">
        <v>1802</v>
      </c>
    </row>
    <row r="17" s="2" customFormat="1" ht="33.95" hidden="1" customHeight="1" spans="1:33">
      <c r="A17" s="34">
        <f t="shared" si="0"/>
        <v>14</v>
      </c>
      <c r="B17" s="35" t="s">
        <v>2890</v>
      </c>
      <c r="C17" s="35" t="s">
        <v>1674</v>
      </c>
      <c r="D17" s="35" t="s">
        <v>4458</v>
      </c>
      <c r="E17" s="35" t="s">
        <v>4459</v>
      </c>
      <c r="F17" s="36">
        <v>46079</v>
      </c>
      <c r="G17" s="36">
        <v>46177</v>
      </c>
      <c r="H17" s="36">
        <v>46177</v>
      </c>
      <c r="I17" s="36">
        <v>46106</v>
      </c>
      <c r="J17" s="35">
        <f>SUM(L17:P17)</f>
        <v>18260</v>
      </c>
      <c r="K17" s="35">
        <v>10</v>
      </c>
      <c r="L17" s="37">
        <v>3652</v>
      </c>
      <c r="M17" s="37">
        <v>3652</v>
      </c>
      <c r="N17" s="37">
        <v>3652</v>
      </c>
      <c r="O17" s="37">
        <v>3652</v>
      </c>
      <c r="P17" s="37">
        <v>3652</v>
      </c>
      <c r="Q17" s="35" t="s">
        <v>499</v>
      </c>
      <c r="R17" s="45" t="s">
        <v>104</v>
      </c>
      <c r="S17" s="38" t="s">
        <v>501</v>
      </c>
      <c r="T17" s="38" t="s">
        <v>501</v>
      </c>
      <c r="U17" s="38" t="s">
        <v>501</v>
      </c>
      <c r="V17" s="38" t="s">
        <v>1184</v>
      </c>
      <c r="W17" s="38"/>
      <c r="X17" s="35" t="s">
        <v>144</v>
      </c>
      <c r="Y17" s="35" t="s">
        <v>499</v>
      </c>
      <c r="Z17" s="35" t="s">
        <v>4201</v>
      </c>
      <c r="AA17" s="39">
        <v>46177</v>
      </c>
      <c r="AB17" s="44">
        <v>46184</v>
      </c>
      <c r="AC17" s="39">
        <v>46185</v>
      </c>
      <c r="AD17" s="39" t="s">
        <v>4460</v>
      </c>
      <c r="AE17" s="40">
        <v>2592515</v>
      </c>
      <c r="AF17" s="41" t="s">
        <v>4446</v>
      </c>
      <c r="AG17" s="2" t="s">
        <v>1610</v>
      </c>
    </row>
    <row r="18" s="2" customFormat="1" ht="27.6" hidden="1" customHeight="1" spans="1:33">
      <c r="A18" s="34">
        <f t="shared" si="0"/>
        <v>15</v>
      </c>
      <c r="B18" s="35" t="s">
        <v>4400</v>
      </c>
      <c r="C18" s="35" t="s">
        <v>645</v>
      </c>
      <c r="D18" s="35" t="s">
        <v>4401</v>
      </c>
      <c r="E18" s="35" t="s">
        <v>4402</v>
      </c>
      <c r="F18" s="36">
        <v>46086</v>
      </c>
      <c r="G18" s="36">
        <v>46183</v>
      </c>
      <c r="H18" s="36">
        <v>46183</v>
      </c>
      <c r="I18" s="36">
        <v>46108</v>
      </c>
      <c r="J18" s="35">
        <f t="shared" ref="J18:J26" si="3">SUBTOTAL(9,L18:P18)</f>
        <v>0</v>
      </c>
      <c r="K18" s="35">
        <v>10</v>
      </c>
      <c r="L18" s="37">
        <v>240</v>
      </c>
      <c r="M18" s="37">
        <v>240</v>
      </c>
      <c r="N18" s="37">
        <v>240</v>
      </c>
      <c r="O18" s="37">
        <v>240</v>
      </c>
      <c r="P18" s="37">
        <v>240</v>
      </c>
      <c r="Q18" s="35" t="s">
        <v>499</v>
      </c>
      <c r="R18" s="45" t="s">
        <v>104</v>
      </c>
      <c r="S18" s="38" t="s">
        <v>501</v>
      </c>
      <c r="T18" s="38" t="s">
        <v>501</v>
      </c>
      <c r="U18" s="38" t="s">
        <v>501</v>
      </c>
      <c r="V18" s="38" t="s">
        <v>1184</v>
      </c>
      <c r="W18" s="38"/>
      <c r="X18" s="35" t="s">
        <v>1072</v>
      </c>
      <c r="Y18" s="35" t="s">
        <v>499</v>
      </c>
      <c r="Z18" s="37" t="s">
        <v>4403</v>
      </c>
      <c r="AA18" s="39">
        <v>46183</v>
      </c>
      <c r="AB18" s="44">
        <v>46185</v>
      </c>
      <c r="AC18" s="39"/>
      <c r="AD18" s="39">
        <v>46238</v>
      </c>
      <c r="AE18" s="40"/>
      <c r="AF18" s="41" t="s">
        <v>4433</v>
      </c>
      <c r="AG18" s="2" t="s">
        <v>2533</v>
      </c>
    </row>
    <row r="19" s="2" customFormat="1" ht="27.95" hidden="1" customHeight="1" spans="1:33">
      <c r="A19" s="34">
        <f t="shared" si="0"/>
        <v>16</v>
      </c>
      <c r="B19" s="35" t="s">
        <v>420</v>
      </c>
      <c r="C19" s="35" t="s">
        <v>421</v>
      </c>
      <c r="D19" s="37" t="s">
        <v>4230</v>
      </c>
      <c r="E19" s="35" t="s">
        <v>4231</v>
      </c>
      <c r="F19" s="36">
        <v>46113</v>
      </c>
      <c r="G19" s="36">
        <v>46183</v>
      </c>
      <c r="H19" s="36">
        <v>46183</v>
      </c>
      <c r="I19" s="36">
        <v>46136</v>
      </c>
      <c r="J19" s="35">
        <f t="shared" si="3"/>
        <v>0</v>
      </c>
      <c r="K19" s="35">
        <v>10</v>
      </c>
      <c r="L19" s="37">
        <v>1200</v>
      </c>
      <c r="M19" s="37">
        <v>1200</v>
      </c>
      <c r="N19" s="37">
        <v>1200</v>
      </c>
      <c r="O19" s="37">
        <v>1200</v>
      </c>
      <c r="P19" s="37">
        <v>1200</v>
      </c>
      <c r="Q19" s="35" t="s">
        <v>499</v>
      </c>
      <c r="R19" s="45" t="s">
        <v>196</v>
      </c>
      <c r="S19" s="38" t="s">
        <v>501</v>
      </c>
      <c r="T19" s="38" t="s">
        <v>501</v>
      </c>
      <c r="U19" s="38" t="s">
        <v>501</v>
      </c>
      <c r="V19" s="38" t="s">
        <v>1184</v>
      </c>
      <c r="W19" s="38"/>
      <c r="X19" s="35" t="s">
        <v>144</v>
      </c>
      <c r="Y19" s="35" t="s">
        <v>499</v>
      </c>
      <c r="Z19" s="37" t="s">
        <v>4232</v>
      </c>
      <c r="AA19" s="39">
        <v>46183</v>
      </c>
      <c r="AB19" s="57">
        <v>46189</v>
      </c>
      <c r="AC19" s="39"/>
      <c r="AD19" s="39">
        <v>46196</v>
      </c>
      <c r="AE19" s="40" t="s">
        <v>4461</v>
      </c>
      <c r="AF19" s="41" t="s">
        <v>4462</v>
      </c>
      <c r="AG19" s="2" t="s">
        <v>1782</v>
      </c>
    </row>
    <row r="20" s="2" customFormat="1" ht="27.95" hidden="1" customHeight="1" spans="1:33">
      <c r="A20" s="34">
        <f t="shared" si="0"/>
        <v>17</v>
      </c>
      <c r="B20" s="35" t="s">
        <v>420</v>
      </c>
      <c r="C20" s="35" t="s">
        <v>421</v>
      </c>
      <c r="D20" s="37" t="s">
        <v>4234</v>
      </c>
      <c r="E20" s="35" t="s">
        <v>4235</v>
      </c>
      <c r="F20" s="36">
        <v>46113</v>
      </c>
      <c r="G20" s="36">
        <v>46192</v>
      </c>
      <c r="H20" s="36">
        <v>46192</v>
      </c>
      <c r="I20" s="36">
        <v>46136</v>
      </c>
      <c r="J20" s="35">
        <f t="shared" si="3"/>
        <v>0</v>
      </c>
      <c r="K20" s="35">
        <v>10</v>
      </c>
      <c r="L20" s="37">
        <v>10800</v>
      </c>
      <c r="M20" s="37">
        <v>10800</v>
      </c>
      <c r="N20" s="37">
        <v>10800</v>
      </c>
      <c r="O20" s="37">
        <v>10800</v>
      </c>
      <c r="P20" s="37">
        <v>10800</v>
      </c>
      <c r="Q20" s="35" t="s">
        <v>499</v>
      </c>
      <c r="R20" s="45" t="s">
        <v>196</v>
      </c>
      <c r="S20" s="38" t="s">
        <v>501</v>
      </c>
      <c r="T20" s="38" t="s">
        <v>501</v>
      </c>
      <c r="U20" s="38" t="s">
        <v>501</v>
      </c>
      <c r="V20" s="38" t="s">
        <v>1184</v>
      </c>
      <c r="W20" s="38"/>
      <c r="X20" s="35" t="s">
        <v>144</v>
      </c>
      <c r="Y20" s="35" t="s">
        <v>499</v>
      </c>
      <c r="Z20" s="37" t="s">
        <v>4210</v>
      </c>
      <c r="AA20" s="39">
        <v>46192</v>
      </c>
      <c r="AB20" s="44">
        <v>46203</v>
      </c>
      <c r="AC20" s="39"/>
      <c r="AD20" s="39">
        <v>46217</v>
      </c>
      <c r="AE20" s="40" t="s">
        <v>4236</v>
      </c>
      <c r="AF20" s="41" t="s">
        <v>4463</v>
      </c>
      <c r="AG20" s="2" t="s">
        <v>1782</v>
      </c>
    </row>
    <row r="21" s="2" customFormat="1" ht="27.6" hidden="1" customHeight="1" spans="1:33">
      <c r="A21" s="34">
        <f t="shared" si="0"/>
        <v>18</v>
      </c>
      <c r="B21" s="35" t="s">
        <v>3162</v>
      </c>
      <c r="C21" s="35" t="s">
        <v>360</v>
      </c>
      <c r="D21" s="37" t="s">
        <v>4404</v>
      </c>
      <c r="E21" s="35" t="s">
        <v>4405</v>
      </c>
      <c r="F21" s="36">
        <v>46122</v>
      </c>
      <c r="G21" s="36">
        <v>46196</v>
      </c>
      <c r="H21" s="36">
        <v>46196</v>
      </c>
      <c r="I21" s="36">
        <v>46136</v>
      </c>
      <c r="J21" s="35">
        <f t="shared" si="3"/>
        <v>0</v>
      </c>
      <c r="K21" s="35">
        <v>10</v>
      </c>
      <c r="L21" s="37">
        <v>1000</v>
      </c>
      <c r="M21" s="37">
        <v>1000</v>
      </c>
      <c r="N21" s="37">
        <v>1000</v>
      </c>
      <c r="O21" s="37">
        <v>1000</v>
      </c>
      <c r="P21" s="37">
        <v>1000</v>
      </c>
      <c r="Q21" s="35" t="s">
        <v>1749</v>
      </c>
      <c r="R21" s="45" t="s">
        <v>104</v>
      </c>
      <c r="S21" s="38" t="s">
        <v>526</v>
      </c>
      <c r="T21" s="38" t="s">
        <v>526</v>
      </c>
      <c r="U21" s="38" t="s">
        <v>526</v>
      </c>
      <c r="V21" s="38" t="s">
        <v>1875</v>
      </c>
      <c r="W21" s="38"/>
      <c r="X21" s="35" t="s">
        <v>526</v>
      </c>
      <c r="Y21" s="35" t="s">
        <v>1749</v>
      </c>
      <c r="Z21" s="37" t="s">
        <v>4250</v>
      </c>
      <c r="AA21" s="39">
        <v>46196</v>
      </c>
      <c r="AB21" s="44">
        <v>46197</v>
      </c>
      <c r="AC21" s="39"/>
      <c r="AD21" s="39">
        <v>46207</v>
      </c>
      <c r="AE21" s="40" t="s">
        <v>4406</v>
      </c>
      <c r="AF21" s="41" t="s">
        <v>4446</v>
      </c>
      <c r="AG21" s="2" t="s">
        <v>1782</v>
      </c>
    </row>
    <row r="22" s="2" customFormat="1" ht="27.75" hidden="1" customHeight="1" spans="1:33">
      <c r="A22" s="34">
        <f t="shared" si="0"/>
        <v>19</v>
      </c>
      <c r="B22" s="35" t="s">
        <v>4237</v>
      </c>
      <c r="C22" s="35" t="s">
        <v>114</v>
      </c>
      <c r="D22" s="37" t="s">
        <v>4238</v>
      </c>
      <c r="E22" s="35" t="s">
        <v>4239</v>
      </c>
      <c r="F22" s="36">
        <v>46101</v>
      </c>
      <c r="G22" s="36">
        <v>46197</v>
      </c>
      <c r="H22" s="36">
        <v>46197</v>
      </c>
      <c r="I22" s="36">
        <v>46135</v>
      </c>
      <c r="J22" s="35">
        <f t="shared" si="3"/>
        <v>0</v>
      </c>
      <c r="K22" s="35">
        <v>10</v>
      </c>
      <c r="L22" s="37">
        <v>900</v>
      </c>
      <c r="M22" s="37">
        <v>900</v>
      </c>
      <c r="N22" s="37">
        <v>900</v>
      </c>
      <c r="O22" s="37">
        <v>900</v>
      </c>
      <c r="P22" s="37">
        <v>900</v>
      </c>
      <c r="Q22" s="35" t="s">
        <v>1749</v>
      </c>
      <c r="R22" s="45" t="s">
        <v>104</v>
      </c>
      <c r="S22" s="38" t="s">
        <v>526</v>
      </c>
      <c r="T22" s="38" t="s">
        <v>526</v>
      </c>
      <c r="U22" s="38" t="s">
        <v>526</v>
      </c>
      <c r="V22" s="38" t="s">
        <v>1875</v>
      </c>
      <c r="W22" s="38"/>
      <c r="X22" s="35" t="s">
        <v>526</v>
      </c>
      <c r="Y22" s="35" t="s">
        <v>1749</v>
      </c>
      <c r="Z22" s="37" t="s">
        <v>4240</v>
      </c>
      <c r="AA22" s="39">
        <v>46197</v>
      </c>
      <c r="AB22" s="44">
        <v>46197</v>
      </c>
      <c r="AC22" s="39"/>
      <c r="AD22" s="39">
        <v>46218</v>
      </c>
      <c r="AE22" s="40">
        <v>4504222790</v>
      </c>
      <c r="AF22" s="41" t="s">
        <v>4446</v>
      </c>
      <c r="AG22" s="2" t="s">
        <v>1782</v>
      </c>
    </row>
    <row r="23" s="2" customFormat="1" ht="27.75" hidden="1" customHeight="1" spans="1:33">
      <c r="A23" s="34">
        <f t="shared" ref="A23:A55" si="4">ROW()-3</f>
        <v>20</v>
      </c>
      <c r="B23" s="37" t="s">
        <v>4464</v>
      </c>
      <c r="C23" s="37" t="s">
        <v>1932</v>
      </c>
      <c r="D23" s="37" t="s">
        <v>4465</v>
      </c>
      <c r="E23" s="37" t="s">
        <v>4466</v>
      </c>
      <c r="F23" s="36">
        <v>46132</v>
      </c>
      <c r="G23" s="36">
        <v>46205</v>
      </c>
      <c r="H23" s="36">
        <v>46205</v>
      </c>
      <c r="I23" s="36">
        <v>46141</v>
      </c>
      <c r="J23" s="35">
        <f t="shared" si="3"/>
        <v>0</v>
      </c>
      <c r="K23" s="35">
        <v>10</v>
      </c>
      <c r="L23" s="37">
        <v>1512</v>
      </c>
      <c r="M23" s="37">
        <v>1512</v>
      </c>
      <c r="N23" s="37">
        <v>1512</v>
      </c>
      <c r="O23" s="37">
        <v>1512</v>
      </c>
      <c r="P23" s="37">
        <v>1512</v>
      </c>
      <c r="Q23" s="35" t="s">
        <v>4467</v>
      </c>
      <c r="R23" s="45" t="s">
        <v>104</v>
      </c>
      <c r="S23" s="38" t="s">
        <v>526</v>
      </c>
      <c r="T23" s="38" t="s">
        <v>526</v>
      </c>
      <c r="U23" s="38" t="s">
        <v>526</v>
      </c>
      <c r="V23" s="38" t="s">
        <v>1875</v>
      </c>
      <c r="W23" s="38"/>
      <c r="X23" s="35" t="s">
        <v>390</v>
      </c>
      <c r="Y23" s="35" t="s">
        <v>4467</v>
      </c>
      <c r="Z23" s="37" t="s">
        <v>4468</v>
      </c>
      <c r="AA23" s="39">
        <v>46205</v>
      </c>
      <c r="AB23" s="44">
        <v>46220</v>
      </c>
      <c r="AC23" s="39"/>
      <c r="AD23" s="39">
        <v>46249</v>
      </c>
      <c r="AE23" s="40">
        <v>2000010246</v>
      </c>
      <c r="AF23" s="41" t="s">
        <v>4446</v>
      </c>
      <c r="AG23" s="2" t="s">
        <v>1802</v>
      </c>
    </row>
    <row r="24" s="2" customFormat="1" ht="27.6" hidden="1" customHeight="1" spans="1:33">
      <c r="A24" s="34">
        <f t="shared" si="4"/>
        <v>21</v>
      </c>
      <c r="B24" s="37" t="s">
        <v>359</v>
      </c>
      <c r="C24" s="37" t="s">
        <v>360</v>
      </c>
      <c r="D24" s="37" t="s">
        <v>4328</v>
      </c>
      <c r="E24" s="51" t="s">
        <v>4329</v>
      </c>
      <c r="F24" s="36">
        <v>46140</v>
      </c>
      <c r="G24" s="36">
        <v>46205</v>
      </c>
      <c r="H24" s="36">
        <v>46205</v>
      </c>
      <c r="I24" s="36">
        <v>46147</v>
      </c>
      <c r="J24" s="35">
        <f t="shared" si="3"/>
        <v>0</v>
      </c>
      <c r="K24" s="35">
        <v>10</v>
      </c>
      <c r="L24" s="37">
        <v>400</v>
      </c>
      <c r="M24" s="37">
        <v>400</v>
      </c>
      <c r="N24" s="37">
        <v>400</v>
      </c>
      <c r="O24" s="37">
        <v>400</v>
      </c>
      <c r="P24" s="37">
        <v>400</v>
      </c>
      <c r="Q24" s="35" t="s">
        <v>1749</v>
      </c>
      <c r="R24" s="45" t="s">
        <v>104</v>
      </c>
      <c r="S24" s="38" t="s">
        <v>526</v>
      </c>
      <c r="T24" s="38" t="s">
        <v>526</v>
      </c>
      <c r="U24" s="38" t="s">
        <v>526</v>
      </c>
      <c r="V24" s="38" t="s">
        <v>1875</v>
      </c>
      <c r="W24" s="38"/>
      <c r="X24" s="35" t="s">
        <v>390</v>
      </c>
      <c r="Y24" s="35" t="s">
        <v>1749</v>
      </c>
      <c r="Z24" s="37" t="s">
        <v>4250</v>
      </c>
      <c r="AA24" s="39">
        <v>46205</v>
      </c>
      <c r="AB24" s="44">
        <v>46217</v>
      </c>
      <c r="AC24" s="39"/>
      <c r="AD24" s="39">
        <v>46217</v>
      </c>
      <c r="AE24" s="40" t="s">
        <v>1771</v>
      </c>
      <c r="AF24" s="41" t="s">
        <v>4446</v>
      </c>
      <c r="AG24" s="2" t="s">
        <v>1802</v>
      </c>
    </row>
    <row r="25" s="2" customFormat="1" ht="27.6" hidden="1" customHeight="1" spans="1:33">
      <c r="A25" s="34">
        <f t="shared" si="4"/>
        <v>22</v>
      </c>
      <c r="B25" s="35" t="s">
        <v>2890</v>
      </c>
      <c r="C25" s="35" t="s">
        <v>1674</v>
      </c>
      <c r="D25" s="37" t="s">
        <v>4469</v>
      </c>
      <c r="E25" s="51" t="s">
        <v>4329</v>
      </c>
      <c r="F25" s="36">
        <v>46079</v>
      </c>
      <c r="G25" s="36">
        <v>46228</v>
      </c>
      <c r="H25" s="36">
        <v>46228</v>
      </c>
      <c r="I25" s="36">
        <v>46106</v>
      </c>
      <c r="J25" s="35">
        <f t="shared" si="3"/>
        <v>0</v>
      </c>
      <c r="K25" s="35">
        <v>10</v>
      </c>
      <c r="L25" s="37">
        <v>3460</v>
      </c>
      <c r="M25" s="37">
        <v>3460</v>
      </c>
      <c r="N25" s="37">
        <v>3460</v>
      </c>
      <c r="O25" s="37">
        <v>3460</v>
      </c>
      <c r="P25" s="37">
        <v>3460</v>
      </c>
      <c r="Q25" s="35" t="s">
        <v>1749</v>
      </c>
      <c r="R25" s="45" t="s">
        <v>104</v>
      </c>
      <c r="S25" s="38" t="s">
        <v>4138</v>
      </c>
      <c r="T25" s="38" t="s">
        <v>4138</v>
      </c>
      <c r="U25" s="38" t="s">
        <v>4138</v>
      </c>
      <c r="V25" s="38" t="s">
        <v>1207</v>
      </c>
      <c r="W25" s="38"/>
      <c r="X25" s="35" t="s">
        <v>390</v>
      </c>
      <c r="Y25" s="35" t="s">
        <v>1749</v>
      </c>
      <c r="Z25" s="35" t="s">
        <v>4201</v>
      </c>
      <c r="AA25" s="39">
        <v>46207</v>
      </c>
      <c r="AB25" s="44">
        <v>46217</v>
      </c>
      <c r="AC25" s="39">
        <v>46218</v>
      </c>
      <c r="AD25" s="39">
        <v>46224</v>
      </c>
      <c r="AE25" s="40">
        <v>2592523</v>
      </c>
      <c r="AF25" s="41" t="s">
        <v>4446</v>
      </c>
      <c r="AG25" s="2" t="s">
        <v>1610</v>
      </c>
    </row>
    <row r="26" s="2" customFormat="1" ht="27.75" hidden="1" customHeight="1" spans="1:33">
      <c r="A26" s="34">
        <f t="shared" si="4"/>
        <v>23</v>
      </c>
      <c r="B26" s="37" t="s">
        <v>4271</v>
      </c>
      <c r="C26" s="37" t="s">
        <v>114</v>
      </c>
      <c r="D26" s="161" t="s">
        <v>4272</v>
      </c>
      <c r="E26" s="37" t="s">
        <v>4273</v>
      </c>
      <c r="F26" s="36">
        <v>46132</v>
      </c>
      <c r="G26" s="36">
        <v>46205</v>
      </c>
      <c r="H26" s="36">
        <v>46205</v>
      </c>
      <c r="I26" s="36">
        <v>46185</v>
      </c>
      <c r="J26" s="35">
        <f t="shared" si="3"/>
        <v>0</v>
      </c>
      <c r="K26" s="35">
        <v>10</v>
      </c>
      <c r="L26" s="37">
        <v>600</v>
      </c>
      <c r="M26" s="37">
        <v>600</v>
      </c>
      <c r="N26" s="37">
        <v>600</v>
      </c>
      <c r="O26" s="37">
        <v>600</v>
      </c>
      <c r="P26" s="37">
        <v>600</v>
      </c>
      <c r="Q26" s="35" t="s">
        <v>1749</v>
      </c>
      <c r="R26" s="45" t="s">
        <v>104</v>
      </c>
      <c r="S26" s="38" t="s">
        <v>526</v>
      </c>
      <c r="T26" s="38" t="s">
        <v>526</v>
      </c>
      <c r="U26" s="38" t="s">
        <v>526</v>
      </c>
      <c r="V26" s="38" t="s">
        <v>1875</v>
      </c>
      <c r="W26" s="38"/>
      <c r="X26" s="35" t="s">
        <v>933</v>
      </c>
      <c r="Y26" s="35" t="s">
        <v>1749</v>
      </c>
      <c r="Z26" s="35" t="s">
        <v>4250</v>
      </c>
      <c r="AA26" s="39">
        <v>46213</v>
      </c>
      <c r="AB26" s="39">
        <v>46226</v>
      </c>
      <c r="AC26" s="39"/>
      <c r="AD26" s="39">
        <v>46235</v>
      </c>
      <c r="AE26" s="40" t="s">
        <v>4274</v>
      </c>
      <c r="AF26" s="41" t="s">
        <v>4446</v>
      </c>
      <c r="AG26" s="2" t="s">
        <v>1802</v>
      </c>
    </row>
    <row r="27" s="2" customFormat="1" ht="27.75" hidden="1" customHeight="1" spans="1:33">
      <c r="A27" s="34">
        <f t="shared" si="4"/>
        <v>24</v>
      </c>
      <c r="B27" s="37" t="s">
        <v>3833</v>
      </c>
      <c r="C27" s="35" t="s">
        <v>114</v>
      </c>
      <c r="D27" s="37" t="s">
        <v>4247</v>
      </c>
      <c r="E27" s="37" t="s">
        <v>4248</v>
      </c>
      <c r="F27" s="56">
        <v>46134</v>
      </c>
      <c r="G27" s="56">
        <v>46217</v>
      </c>
      <c r="H27" s="56">
        <v>46217</v>
      </c>
      <c r="I27" s="56">
        <v>46169</v>
      </c>
      <c r="J27" s="37">
        <f>SUM(L27:P27)</f>
        <v>3000</v>
      </c>
      <c r="K27" s="35">
        <v>10</v>
      </c>
      <c r="L27" s="35">
        <v>600</v>
      </c>
      <c r="M27" s="35">
        <v>600</v>
      </c>
      <c r="N27" s="35">
        <v>600</v>
      </c>
      <c r="O27" s="35">
        <v>600</v>
      </c>
      <c r="P27" s="35">
        <v>600</v>
      </c>
      <c r="Q27" s="35" t="s">
        <v>554</v>
      </c>
      <c r="R27" s="45" t="s">
        <v>104</v>
      </c>
      <c r="S27" s="35" t="s">
        <v>1750</v>
      </c>
      <c r="T27" s="35" t="s">
        <v>1750</v>
      </c>
      <c r="U27" s="35" t="s">
        <v>1750</v>
      </c>
      <c r="V27" s="35" t="s">
        <v>4128</v>
      </c>
      <c r="W27" s="35"/>
      <c r="X27" s="35" t="s">
        <v>4249</v>
      </c>
      <c r="Y27" s="35" t="s">
        <v>554</v>
      </c>
      <c r="Z27" s="35" t="s">
        <v>4250</v>
      </c>
      <c r="AA27" s="39">
        <v>46217</v>
      </c>
      <c r="AB27" s="142">
        <v>46230</v>
      </c>
      <c r="AC27" s="39"/>
      <c r="AD27" s="39">
        <v>46233</v>
      </c>
      <c r="AE27" s="40" t="s">
        <v>4251</v>
      </c>
      <c r="AF27" s="2" t="s">
        <v>4446</v>
      </c>
      <c r="AG27" s="2" t="s">
        <v>1794</v>
      </c>
    </row>
    <row r="28" s="2" customFormat="1" ht="27.95" hidden="1" customHeight="1" spans="1:33">
      <c r="A28" s="34">
        <f t="shared" si="4"/>
        <v>25</v>
      </c>
      <c r="B28" s="35" t="s">
        <v>2890</v>
      </c>
      <c r="C28" s="35" t="s">
        <v>1674</v>
      </c>
      <c r="D28" s="35" t="s">
        <v>4470</v>
      </c>
      <c r="E28" s="35" t="s">
        <v>4471</v>
      </c>
      <c r="F28" s="36">
        <v>46079</v>
      </c>
      <c r="G28" s="36">
        <v>46228</v>
      </c>
      <c r="H28" s="36">
        <v>46228</v>
      </c>
      <c r="I28" s="36">
        <v>46106</v>
      </c>
      <c r="J28" s="35">
        <f>SUM(L28:P28)</f>
        <v>20840</v>
      </c>
      <c r="K28" s="35">
        <v>10</v>
      </c>
      <c r="L28" s="37">
        <v>4168</v>
      </c>
      <c r="M28" s="37">
        <v>4168</v>
      </c>
      <c r="N28" s="37">
        <v>4168</v>
      </c>
      <c r="O28" s="37">
        <v>4168</v>
      </c>
      <c r="P28" s="37">
        <v>4168</v>
      </c>
      <c r="Q28" s="35" t="s">
        <v>554</v>
      </c>
      <c r="R28" s="45" t="s">
        <v>104</v>
      </c>
      <c r="S28" s="35" t="s">
        <v>1750</v>
      </c>
      <c r="T28" s="35" t="s">
        <v>1750</v>
      </c>
      <c r="U28" s="35" t="s">
        <v>1750</v>
      </c>
      <c r="V28" s="35" t="s">
        <v>4128</v>
      </c>
      <c r="W28" s="35"/>
      <c r="X28" s="35" t="s">
        <v>933</v>
      </c>
      <c r="Y28" s="35" t="s">
        <v>554</v>
      </c>
      <c r="Z28" s="35" t="s">
        <v>4243</v>
      </c>
      <c r="AA28" s="39">
        <v>46228</v>
      </c>
      <c r="AB28" s="39">
        <v>46238</v>
      </c>
      <c r="AC28" s="58">
        <v>46239</v>
      </c>
      <c r="AD28" s="39">
        <v>46259</v>
      </c>
      <c r="AE28" s="40">
        <v>2592527</v>
      </c>
      <c r="AF28" s="41" t="s">
        <v>4446</v>
      </c>
      <c r="AG28" s="2" t="s">
        <v>1610</v>
      </c>
    </row>
    <row r="29" s="2" customFormat="1" ht="27.95" hidden="1" customHeight="1" spans="1:33">
      <c r="A29" s="34">
        <f t="shared" si="4"/>
        <v>26</v>
      </c>
      <c r="B29" s="35" t="s">
        <v>2372</v>
      </c>
      <c r="C29" s="35" t="s">
        <v>726</v>
      </c>
      <c r="D29" s="35" t="s">
        <v>4472</v>
      </c>
      <c r="E29" s="35" t="s">
        <v>4473</v>
      </c>
      <c r="F29" s="36">
        <v>46087</v>
      </c>
      <c r="G29" s="36">
        <v>46244</v>
      </c>
      <c r="H29" s="36">
        <v>46244</v>
      </c>
      <c r="I29" s="36">
        <v>46104</v>
      </c>
      <c r="J29" s="35">
        <f>SUBTOTAL(9,L29:P29)</f>
        <v>0</v>
      </c>
      <c r="K29" s="35">
        <v>10</v>
      </c>
      <c r="L29" s="37">
        <v>3474</v>
      </c>
      <c r="M29" s="37">
        <v>3474</v>
      </c>
      <c r="N29" s="37">
        <v>3474</v>
      </c>
      <c r="O29" s="37">
        <v>3474</v>
      </c>
      <c r="P29" s="37">
        <v>3474</v>
      </c>
      <c r="Q29" s="35" t="s">
        <v>1600</v>
      </c>
      <c r="R29" s="45" t="s">
        <v>104</v>
      </c>
      <c r="S29" s="38" t="s">
        <v>4138</v>
      </c>
      <c r="T29" s="38" t="s">
        <v>4138</v>
      </c>
      <c r="U29" s="38" t="s">
        <v>4138</v>
      </c>
      <c r="V29" s="38" t="s">
        <v>1207</v>
      </c>
      <c r="W29" s="38" t="s">
        <v>84</v>
      </c>
      <c r="X29" s="35" t="s">
        <v>607</v>
      </c>
      <c r="Y29" s="35" t="s">
        <v>1600</v>
      </c>
      <c r="Z29" s="35" t="s">
        <v>4453</v>
      </c>
      <c r="AA29" s="39">
        <v>46244</v>
      </c>
      <c r="AB29" s="39">
        <v>46252</v>
      </c>
      <c r="AC29" s="39"/>
      <c r="AD29" s="39">
        <v>46274</v>
      </c>
      <c r="AE29" s="1297" t="s">
        <v>4474</v>
      </c>
      <c r="AF29" s="41" t="s">
        <v>4446</v>
      </c>
      <c r="AG29" s="2" t="s">
        <v>3235</v>
      </c>
    </row>
    <row r="30" s="2" customFormat="1" ht="27.95" hidden="1" customHeight="1" spans="1:33">
      <c r="A30" s="34">
        <f t="shared" si="4"/>
        <v>27</v>
      </c>
      <c r="B30" s="35" t="s">
        <v>2372</v>
      </c>
      <c r="C30" s="35" t="s">
        <v>726</v>
      </c>
      <c r="D30" s="35" t="s">
        <v>4475</v>
      </c>
      <c r="E30" s="35" t="s">
        <v>4452</v>
      </c>
      <c r="F30" s="36">
        <v>46087</v>
      </c>
      <c r="G30" s="56">
        <v>46249</v>
      </c>
      <c r="H30" s="56">
        <v>46246</v>
      </c>
      <c r="I30" s="36">
        <v>46104</v>
      </c>
      <c r="J30" s="35">
        <f>SUBTOTAL(9,L30:P30)</f>
        <v>0</v>
      </c>
      <c r="K30" s="35">
        <v>10</v>
      </c>
      <c r="L30" s="37">
        <v>5416</v>
      </c>
      <c r="M30" s="37">
        <v>5416</v>
      </c>
      <c r="N30" s="37">
        <v>5416</v>
      </c>
      <c r="O30" s="37">
        <v>5416</v>
      </c>
      <c r="P30" s="37">
        <v>5416</v>
      </c>
      <c r="Q30" s="35" t="s">
        <v>2495</v>
      </c>
      <c r="R30" s="45" t="s">
        <v>104</v>
      </c>
      <c r="S30" s="38" t="s">
        <v>4083</v>
      </c>
      <c r="T30" s="38" t="s">
        <v>4083</v>
      </c>
      <c r="U30" s="38" t="s">
        <v>4083</v>
      </c>
      <c r="V30" s="38" t="s">
        <v>4084</v>
      </c>
      <c r="W30" s="38" t="s">
        <v>84</v>
      </c>
      <c r="X30" s="35" t="s">
        <v>607</v>
      </c>
      <c r="Y30" s="35" t="s">
        <v>2495</v>
      </c>
      <c r="Z30" s="35" t="s">
        <v>4453</v>
      </c>
      <c r="AA30" s="44">
        <v>46246</v>
      </c>
      <c r="AB30" s="39">
        <v>46252</v>
      </c>
      <c r="AC30" s="39"/>
      <c r="AD30" s="39">
        <v>46273</v>
      </c>
      <c r="AE30" s="40" t="s">
        <v>4476</v>
      </c>
      <c r="AF30" s="41" t="s">
        <v>4455</v>
      </c>
      <c r="AG30" s="2" t="s">
        <v>3235</v>
      </c>
    </row>
    <row r="31" s="2" customFormat="1" ht="27.95" hidden="1" customHeight="1" spans="1:33">
      <c r="A31" s="34">
        <f t="shared" si="4"/>
        <v>28</v>
      </c>
      <c r="B31" s="35" t="s">
        <v>420</v>
      </c>
      <c r="C31" s="35" t="s">
        <v>421</v>
      </c>
      <c r="D31" s="35" t="s">
        <v>4415</v>
      </c>
      <c r="E31" s="35" t="s">
        <v>4416</v>
      </c>
      <c r="F31" s="36">
        <v>46148</v>
      </c>
      <c r="G31" s="36">
        <v>46253</v>
      </c>
      <c r="H31" s="36">
        <v>46253</v>
      </c>
      <c r="I31" s="36">
        <v>46212</v>
      </c>
      <c r="J31" s="35">
        <f>SUBTOTAL(9,L31:P31)</f>
        <v>0</v>
      </c>
      <c r="K31" s="35">
        <v>10</v>
      </c>
      <c r="L31" s="37">
        <v>4000</v>
      </c>
      <c r="M31" s="37">
        <v>4000</v>
      </c>
      <c r="N31" s="37">
        <v>4000</v>
      </c>
      <c r="O31" s="37">
        <v>4000</v>
      </c>
      <c r="P31" s="37">
        <v>4000</v>
      </c>
      <c r="Q31" s="35" t="s">
        <v>1600</v>
      </c>
      <c r="R31" s="45" t="s">
        <v>196</v>
      </c>
      <c r="S31" s="38" t="s">
        <v>4138</v>
      </c>
      <c r="T31" s="38" t="s">
        <v>4138</v>
      </c>
      <c r="U31" s="38" t="s">
        <v>4138</v>
      </c>
      <c r="V31" s="38" t="s">
        <v>1207</v>
      </c>
      <c r="W31" s="38" t="s">
        <v>84</v>
      </c>
      <c r="X31" s="35" t="s">
        <v>607</v>
      </c>
      <c r="Y31" s="35" t="s">
        <v>1600</v>
      </c>
      <c r="Z31" s="35" t="s">
        <v>4221</v>
      </c>
      <c r="AA31" s="39">
        <v>46253</v>
      </c>
      <c r="AB31" s="39">
        <v>46255</v>
      </c>
      <c r="AC31" s="39"/>
      <c r="AD31" s="39">
        <v>46274</v>
      </c>
      <c r="AE31" s="40" t="s">
        <v>4417</v>
      </c>
      <c r="AF31" s="41" t="s">
        <v>4463</v>
      </c>
      <c r="AG31" s="2" t="s">
        <v>4170</v>
      </c>
    </row>
    <row r="32" s="2" customFormat="1" ht="25" customHeight="1" spans="1:33">
      <c r="A32" s="34">
        <f t="shared" si="4"/>
        <v>29</v>
      </c>
      <c r="B32" s="35" t="s">
        <v>2890</v>
      </c>
      <c r="C32" s="35" t="s">
        <v>1674</v>
      </c>
      <c r="D32" s="35" t="s">
        <v>4477</v>
      </c>
      <c r="E32" s="35" t="s">
        <v>4478</v>
      </c>
      <c r="F32" s="36">
        <v>46079</v>
      </c>
      <c r="G32" s="36">
        <v>46262</v>
      </c>
      <c r="H32" s="36">
        <v>46262</v>
      </c>
      <c r="I32" s="36">
        <v>46106</v>
      </c>
      <c r="J32" s="35">
        <f>SUM(L32:P32)</f>
        <v>26180</v>
      </c>
      <c r="K32" s="35">
        <v>10</v>
      </c>
      <c r="L32" s="37">
        <v>5236</v>
      </c>
      <c r="M32" s="37">
        <v>5236</v>
      </c>
      <c r="N32" s="37">
        <v>5236</v>
      </c>
      <c r="O32" s="37">
        <v>5236</v>
      </c>
      <c r="P32" s="37">
        <v>5236</v>
      </c>
      <c r="Q32" s="35" t="s">
        <v>1600</v>
      </c>
      <c r="R32" s="45" t="s">
        <v>104</v>
      </c>
      <c r="S32" s="38" t="s">
        <v>4138</v>
      </c>
      <c r="T32" s="38" t="s">
        <v>4138</v>
      </c>
      <c r="U32" s="38" t="s">
        <v>4138</v>
      </c>
      <c r="V32" s="38" t="s">
        <v>1207</v>
      </c>
      <c r="W32" s="38" t="s">
        <v>84</v>
      </c>
      <c r="X32" s="35" t="s">
        <v>1208</v>
      </c>
      <c r="Y32" s="35" t="s">
        <v>1600</v>
      </c>
      <c r="Z32" s="35" t="s">
        <v>4243</v>
      </c>
      <c r="AA32" s="39">
        <v>46262</v>
      </c>
      <c r="AB32" s="39">
        <v>46274</v>
      </c>
      <c r="AC32" s="39" t="s">
        <v>4479</v>
      </c>
      <c r="AD32" s="39"/>
      <c r="AE32" s="40">
        <v>2592440</v>
      </c>
      <c r="AF32" s="41" t="s">
        <v>4446</v>
      </c>
      <c r="AG32" s="2" t="s">
        <v>1610</v>
      </c>
    </row>
    <row r="33" s="2" customFormat="1" ht="25" customHeight="1" spans="1:33">
      <c r="A33" s="34">
        <f t="shared" si="4"/>
        <v>30</v>
      </c>
      <c r="B33" s="35" t="s">
        <v>420</v>
      </c>
      <c r="C33" s="35" t="s">
        <v>421</v>
      </c>
      <c r="D33" s="35" t="s">
        <v>4380</v>
      </c>
      <c r="E33" s="35" t="s">
        <v>4381</v>
      </c>
      <c r="F33" s="36">
        <v>46148</v>
      </c>
      <c r="G33" s="36">
        <v>46269</v>
      </c>
      <c r="H33" s="36">
        <v>46269</v>
      </c>
      <c r="I33" s="36">
        <v>46237</v>
      </c>
      <c r="J33" s="35">
        <f t="shared" ref="J33:J48" si="5">SUBTOTAL(9,L33:P33)</f>
        <v>25000</v>
      </c>
      <c r="K33" s="35">
        <v>10</v>
      </c>
      <c r="L33" s="37">
        <v>5000</v>
      </c>
      <c r="M33" s="37">
        <v>5000</v>
      </c>
      <c r="N33" s="37">
        <v>5000</v>
      </c>
      <c r="O33" s="37">
        <v>5000</v>
      </c>
      <c r="P33" s="37">
        <v>5000</v>
      </c>
      <c r="Q33" s="35" t="s">
        <v>1444</v>
      </c>
      <c r="R33" s="45" t="s">
        <v>196</v>
      </c>
      <c r="S33" s="38" t="s">
        <v>4176</v>
      </c>
      <c r="T33" s="38" t="s">
        <v>4176</v>
      </c>
      <c r="U33" s="38" t="s">
        <v>4176</v>
      </c>
      <c r="V33" s="38" t="s">
        <v>1660</v>
      </c>
      <c r="W33" s="38" t="s">
        <v>84</v>
      </c>
      <c r="X33" s="38" t="s">
        <v>1660</v>
      </c>
      <c r="Y33" s="35" t="s">
        <v>1444</v>
      </c>
      <c r="Z33" s="35" t="s">
        <v>4221</v>
      </c>
      <c r="AA33" s="39">
        <v>46269</v>
      </c>
      <c r="AB33" s="39">
        <v>46273</v>
      </c>
      <c r="AC33" s="39"/>
      <c r="AD33" s="39"/>
      <c r="AE33" s="40" t="s">
        <v>4382</v>
      </c>
      <c r="AF33" s="41" t="s">
        <v>4463</v>
      </c>
      <c r="AG33" s="2" t="s">
        <v>4170</v>
      </c>
    </row>
    <row r="34" s="2" customFormat="1" ht="25" customHeight="1" spans="1:33">
      <c r="A34" s="59">
        <f t="shared" si="4"/>
        <v>31</v>
      </c>
      <c r="B34" s="60" t="s">
        <v>420</v>
      </c>
      <c r="C34" s="60" t="s">
        <v>421</v>
      </c>
      <c r="D34" s="60" t="s">
        <v>4383</v>
      </c>
      <c r="E34" s="60" t="s">
        <v>4384</v>
      </c>
      <c r="F34" s="61">
        <v>46148</v>
      </c>
      <c r="G34" s="61">
        <v>46283</v>
      </c>
      <c r="H34" s="61">
        <v>46283</v>
      </c>
      <c r="I34" s="61">
        <v>46237</v>
      </c>
      <c r="J34" s="60">
        <f t="shared" si="5"/>
        <v>25000</v>
      </c>
      <c r="K34" s="60">
        <v>10</v>
      </c>
      <c r="L34" s="66">
        <v>5000</v>
      </c>
      <c r="M34" s="66">
        <v>5000</v>
      </c>
      <c r="N34" s="66">
        <v>5000</v>
      </c>
      <c r="O34" s="66">
        <v>5000</v>
      </c>
      <c r="P34" s="66">
        <v>5000</v>
      </c>
      <c r="Q34" s="63" t="s">
        <v>1444</v>
      </c>
      <c r="R34" s="162" t="s">
        <v>196</v>
      </c>
      <c r="S34" s="65" t="s">
        <v>4176</v>
      </c>
      <c r="T34" s="65" t="s">
        <v>4176</v>
      </c>
      <c r="U34" s="65" t="s">
        <v>4176</v>
      </c>
      <c r="V34" s="65" t="s">
        <v>1660</v>
      </c>
      <c r="W34" s="65" t="s">
        <v>84</v>
      </c>
      <c r="X34" s="65" t="s">
        <v>1660</v>
      </c>
      <c r="Y34" s="60" t="s">
        <v>1444</v>
      </c>
      <c r="Z34" s="60" t="s">
        <v>4221</v>
      </c>
      <c r="AA34" s="67">
        <v>46283</v>
      </c>
      <c r="AB34" s="68"/>
      <c r="AC34" s="68"/>
      <c r="AD34" s="68"/>
      <c r="AE34" s="70" t="s">
        <v>4385</v>
      </c>
      <c r="AF34" s="41" t="s">
        <v>4463</v>
      </c>
      <c r="AG34" s="2" t="s">
        <v>4195</v>
      </c>
    </row>
    <row r="35" s="2" customFormat="1" ht="25" customHeight="1" spans="1:33">
      <c r="A35" s="59">
        <f t="shared" si="4"/>
        <v>32</v>
      </c>
      <c r="B35" s="60" t="s">
        <v>420</v>
      </c>
      <c r="C35" s="60" t="s">
        <v>421</v>
      </c>
      <c r="D35" s="60" t="s">
        <v>4386</v>
      </c>
      <c r="E35" s="60" t="s">
        <v>4387</v>
      </c>
      <c r="F35" s="61">
        <v>46148</v>
      </c>
      <c r="G35" s="61">
        <v>46289</v>
      </c>
      <c r="H35" s="61">
        <v>46289</v>
      </c>
      <c r="I35" s="61">
        <v>46237</v>
      </c>
      <c r="J35" s="60">
        <f t="shared" si="5"/>
        <v>10000</v>
      </c>
      <c r="K35" s="60">
        <v>10</v>
      </c>
      <c r="L35" s="66">
        <v>2000</v>
      </c>
      <c r="M35" s="66">
        <v>2000</v>
      </c>
      <c r="N35" s="66">
        <v>2000</v>
      </c>
      <c r="O35" s="66">
        <v>2000</v>
      </c>
      <c r="P35" s="66">
        <v>2000</v>
      </c>
      <c r="Q35" s="63" t="s">
        <v>1444</v>
      </c>
      <c r="R35" s="162" t="s">
        <v>196</v>
      </c>
      <c r="S35" s="65" t="s">
        <v>4176</v>
      </c>
      <c r="T35" s="65" t="s">
        <v>4176</v>
      </c>
      <c r="U35" s="65" t="s">
        <v>4176</v>
      </c>
      <c r="V35" s="65" t="s">
        <v>1660</v>
      </c>
      <c r="W35" s="65" t="s">
        <v>84</v>
      </c>
      <c r="X35" s="65" t="s">
        <v>1660</v>
      </c>
      <c r="Y35" s="60" t="s">
        <v>1444</v>
      </c>
      <c r="Z35" s="60" t="s">
        <v>4221</v>
      </c>
      <c r="AA35" s="67">
        <v>46289</v>
      </c>
      <c r="AB35" s="68"/>
      <c r="AC35" s="68"/>
      <c r="AD35" s="68"/>
      <c r="AE35" s="70" t="s">
        <v>4388</v>
      </c>
      <c r="AF35" s="41" t="s">
        <v>4463</v>
      </c>
      <c r="AG35" s="2" t="s">
        <v>4195</v>
      </c>
    </row>
    <row r="36" s="2" customFormat="1" ht="25" customHeight="1" spans="1:33">
      <c r="A36" s="59">
        <f t="shared" si="4"/>
        <v>33</v>
      </c>
      <c r="B36" s="66" t="s">
        <v>3461</v>
      </c>
      <c r="C36" s="60" t="s">
        <v>486</v>
      </c>
      <c r="D36" s="60" t="s">
        <v>4480</v>
      </c>
      <c r="E36" s="60" t="s">
        <v>4481</v>
      </c>
      <c r="F36" s="61">
        <v>46184</v>
      </c>
      <c r="G36" s="61">
        <v>46289</v>
      </c>
      <c r="H36" s="61">
        <v>46289</v>
      </c>
      <c r="I36" s="61">
        <v>46216</v>
      </c>
      <c r="J36" s="60">
        <f t="shared" si="5"/>
        <v>5000</v>
      </c>
      <c r="K36" s="60">
        <v>10</v>
      </c>
      <c r="L36" s="66">
        <v>1000</v>
      </c>
      <c r="M36" s="66">
        <v>1000</v>
      </c>
      <c r="N36" s="66">
        <v>1000</v>
      </c>
      <c r="O36" s="66">
        <v>1000</v>
      </c>
      <c r="P36" s="66">
        <v>1000</v>
      </c>
      <c r="Q36" s="63" t="s">
        <v>1444</v>
      </c>
      <c r="R36" s="162" t="s">
        <v>104</v>
      </c>
      <c r="S36" s="65" t="s">
        <v>4176</v>
      </c>
      <c r="T36" s="65" t="s">
        <v>4176</v>
      </c>
      <c r="U36" s="65" t="s">
        <v>4176</v>
      </c>
      <c r="V36" s="65" t="s">
        <v>1660</v>
      </c>
      <c r="W36" s="65" t="s">
        <v>84</v>
      </c>
      <c r="X36" s="60" t="s">
        <v>4180</v>
      </c>
      <c r="Y36" s="60" t="s">
        <v>1444</v>
      </c>
      <c r="Z36" s="66" t="s">
        <v>4250</v>
      </c>
      <c r="AA36" s="67">
        <v>46289</v>
      </c>
      <c r="AB36" s="68"/>
      <c r="AC36" s="68"/>
      <c r="AD36" s="68"/>
      <c r="AE36" s="70" t="s">
        <v>4482</v>
      </c>
      <c r="AF36" s="41" t="s">
        <v>4446</v>
      </c>
      <c r="AG36" s="2" t="s">
        <v>4195</v>
      </c>
    </row>
    <row r="37" s="2" customFormat="1" ht="25" customHeight="1" spans="1:33">
      <c r="A37" s="59">
        <f t="shared" si="4"/>
        <v>34</v>
      </c>
      <c r="B37" s="60" t="s">
        <v>440</v>
      </c>
      <c r="C37" s="60" t="s">
        <v>114</v>
      </c>
      <c r="D37" s="60" t="s">
        <v>4483</v>
      </c>
      <c r="E37" s="60" t="s">
        <v>4484</v>
      </c>
      <c r="F37" s="61">
        <v>46197</v>
      </c>
      <c r="G37" s="61">
        <v>46310</v>
      </c>
      <c r="H37" s="61">
        <v>46310</v>
      </c>
      <c r="I37" s="61">
        <v>46244</v>
      </c>
      <c r="J37" s="60">
        <f t="shared" si="5"/>
        <v>710</v>
      </c>
      <c r="K37" s="60">
        <v>10</v>
      </c>
      <c r="L37" s="66">
        <v>142</v>
      </c>
      <c r="M37" s="66">
        <v>142</v>
      </c>
      <c r="N37" s="66">
        <v>142</v>
      </c>
      <c r="O37" s="66">
        <v>142</v>
      </c>
      <c r="P37" s="66">
        <v>142</v>
      </c>
      <c r="Q37" s="63" t="s">
        <v>1444</v>
      </c>
      <c r="R37" s="162" t="s">
        <v>104</v>
      </c>
      <c r="S37" s="65" t="s">
        <v>4176</v>
      </c>
      <c r="T37" s="65" t="s">
        <v>4176</v>
      </c>
      <c r="U37" s="65" t="s">
        <v>4176</v>
      </c>
      <c r="V37" s="65" t="s">
        <v>1660</v>
      </c>
      <c r="W37" s="65" t="s">
        <v>4485</v>
      </c>
      <c r="X37" s="60" t="s">
        <v>3658</v>
      </c>
      <c r="Y37" s="60" t="s">
        <v>1444</v>
      </c>
      <c r="Z37" s="60" t="s">
        <v>4486</v>
      </c>
      <c r="AA37" s="67">
        <v>46310</v>
      </c>
      <c r="AB37" s="68" t="s">
        <v>4487</v>
      </c>
      <c r="AC37" s="68"/>
      <c r="AD37" s="68"/>
      <c r="AE37" s="70" t="s">
        <v>4488</v>
      </c>
      <c r="AF37" s="41" t="s">
        <v>4489</v>
      </c>
      <c r="AG37" s="2" t="s">
        <v>4195</v>
      </c>
    </row>
    <row r="38" s="2" customFormat="1" ht="25" customHeight="1" spans="1:33">
      <c r="A38" s="59">
        <f t="shared" si="4"/>
        <v>35</v>
      </c>
      <c r="B38" s="60" t="s">
        <v>440</v>
      </c>
      <c r="C38" s="60" t="s">
        <v>114</v>
      </c>
      <c r="D38" s="60" t="s">
        <v>4483</v>
      </c>
      <c r="E38" s="60" t="s">
        <v>4484</v>
      </c>
      <c r="F38" s="61">
        <v>46197</v>
      </c>
      <c r="G38" s="61">
        <v>46310</v>
      </c>
      <c r="H38" s="61">
        <v>46310</v>
      </c>
      <c r="I38" s="61">
        <v>46244</v>
      </c>
      <c r="J38" s="60">
        <f t="shared" si="5"/>
        <v>710</v>
      </c>
      <c r="K38" s="60">
        <v>10</v>
      </c>
      <c r="L38" s="66">
        <v>142</v>
      </c>
      <c r="M38" s="66">
        <v>142</v>
      </c>
      <c r="N38" s="66">
        <v>142</v>
      </c>
      <c r="O38" s="66">
        <v>142</v>
      </c>
      <c r="P38" s="66">
        <v>142</v>
      </c>
      <c r="Q38" s="63" t="s">
        <v>1444</v>
      </c>
      <c r="R38" s="162" t="s">
        <v>104</v>
      </c>
      <c r="S38" s="65" t="s">
        <v>4176</v>
      </c>
      <c r="T38" s="65" t="s">
        <v>4176</v>
      </c>
      <c r="U38" s="65" t="s">
        <v>4176</v>
      </c>
      <c r="V38" s="65" t="s">
        <v>1660</v>
      </c>
      <c r="W38" s="65" t="s">
        <v>4485</v>
      </c>
      <c r="X38" s="60" t="s">
        <v>3658</v>
      </c>
      <c r="Y38" s="60" t="s">
        <v>1444</v>
      </c>
      <c r="Z38" s="60" t="s">
        <v>4486</v>
      </c>
      <c r="AA38" s="67">
        <v>46310</v>
      </c>
      <c r="AB38" s="68"/>
      <c r="AC38" s="68"/>
      <c r="AD38" s="68"/>
      <c r="AE38" s="70" t="s">
        <v>4490</v>
      </c>
      <c r="AF38" s="41" t="s">
        <v>4489</v>
      </c>
      <c r="AG38" s="2" t="s">
        <v>4195</v>
      </c>
    </row>
    <row r="39" s="2" customFormat="1" ht="25" customHeight="1" spans="1:33">
      <c r="A39" s="59">
        <f t="shared" si="4"/>
        <v>36</v>
      </c>
      <c r="B39" s="60" t="s">
        <v>4491</v>
      </c>
      <c r="C39" s="60" t="s">
        <v>114</v>
      </c>
      <c r="D39" s="60" t="s">
        <v>4492</v>
      </c>
      <c r="E39" s="60" t="s">
        <v>4493</v>
      </c>
      <c r="F39" s="61">
        <v>46197</v>
      </c>
      <c r="G39" s="61">
        <v>46310</v>
      </c>
      <c r="H39" s="61">
        <v>46310</v>
      </c>
      <c r="I39" s="61">
        <v>46244</v>
      </c>
      <c r="J39" s="60">
        <f t="shared" si="5"/>
        <v>3850</v>
      </c>
      <c r="K39" s="60">
        <v>10</v>
      </c>
      <c r="L39" s="66">
        <v>770</v>
      </c>
      <c r="M39" s="66">
        <v>770</v>
      </c>
      <c r="N39" s="66">
        <v>770</v>
      </c>
      <c r="O39" s="66">
        <v>770</v>
      </c>
      <c r="P39" s="66">
        <v>770</v>
      </c>
      <c r="Q39" s="63" t="s">
        <v>1444</v>
      </c>
      <c r="R39" s="162" t="s">
        <v>104</v>
      </c>
      <c r="S39" s="65" t="s">
        <v>4176</v>
      </c>
      <c r="T39" s="65" t="s">
        <v>4176</v>
      </c>
      <c r="U39" s="65" t="s">
        <v>4176</v>
      </c>
      <c r="V39" s="65" t="s">
        <v>1660</v>
      </c>
      <c r="W39" s="65" t="s">
        <v>4485</v>
      </c>
      <c r="X39" s="60" t="s">
        <v>3658</v>
      </c>
      <c r="Y39" s="60" t="s">
        <v>1444</v>
      </c>
      <c r="Z39" s="60" t="s">
        <v>4486</v>
      </c>
      <c r="AA39" s="67">
        <v>46310</v>
      </c>
      <c r="AB39" s="68"/>
      <c r="AC39" s="68"/>
      <c r="AD39" s="68"/>
      <c r="AE39" s="70" t="s">
        <v>4494</v>
      </c>
      <c r="AF39" s="41" t="s">
        <v>4489</v>
      </c>
      <c r="AG39" s="2" t="s">
        <v>4195</v>
      </c>
    </row>
    <row r="40" s="2" customFormat="1" ht="25" customHeight="1" spans="1:33">
      <c r="A40" s="59">
        <f t="shared" si="4"/>
        <v>37</v>
      </c>
      <c r="B40" s="84" t="s">
        <v>440</v>
      </c>
      <c r="C40" s="84" t="s">
        <v>114</v>
      </c>
      <c r="D40" s="84" t="s">
        <v>4495</v>
      </c>
      <c r="E40" s="60" t="s">
        <v>4496</v>
      </c>
      <c r="F40" s="85">
        <v>46247</v>
      </c>
      <c r="G40" s="85">
        <v>46324</v>
      </c>
      <c r="H40" s="85">
        <v>46324</v>
      </c>
      <c r="I40" s="85">
        <v>46259</v>
      </c>
      <c r="J40" s="84">
        <f t="shared" si="5"/>
        <v>1470</v>
      </c>
      <c r="K40" s="84">
        <v>10</v>
      </c>
      <c r="L40" s="66">
        <v>294</v>
      </c>
      <c r="M40" s="66">
        <v>294</v>
      </c>
      <c r="N40" s="66">
        <v>294</v>
      </c>
      <c r="O40" s="66">
        <v>294</v>
      </c>
      <c r="P40" s="66">
        <v>294</v>
      </c>
      <c r="Q40" s="63" t="s">
        <v>3869</v>
      </c>
      <c r="R40" s="162" t="s">
        <v>104</v>
      </c>
      <c r="S40" s="65" t="s">
        <v>2488</v>
      </c>
      <c r="T40" s="65" t="s">
        <v>2488</v>
      </c>
      <c r="U40" s="65" t="s">
        <v>2488</v>
      </c>
      <c r="V40" s="65" t="s">
        <v>2488</v>
      </c>
      <c r="W40" s="65" t="s">
        <v>4485</v>
      </c>
      <c r="X40" s="60"/>
      <c r="Y40" s="60" t="s">
        <v>3869</v>
      </c>
      <c r="Z40" s="60" t="s">
        <v>4497</v>
      </c>
      <c r="AA40" s="67">
        <v>46324</v>
      </c>
      <c r="AB40" s="68"/>
      <c r="AC40" s="68"/>
      <c r="AD40" s="68"/>
      <c r="AE40" s="70" t="s">
        <v>4498</v>
      </c>
      <c r="AF40" s="41" t="s">
        <v>4489</v>
      </c>
      <c r="AG40" s="2" t="s">
        <v>4499</v>
      </c>
    </row>
    <row r="41" s="2" customFormat="1" ht="25" customHeight="1" spans="1:33">
      <c r="A41" s="59">
        <f t="shared" si="4"/>
        <v>38</v>
      </c>
      <c r="B41" s="84" t="s">
        <v>4491</v>
      </c>
      <c r="C41" s="84" t="s">
        <v>114</v>
      </c>
      <c r="D41" s="84" t="s">
        <v>4500</v>
      </c>
      <c r="E41" s="60" t="s">
        <v>4501</v>
      </c>
      <c r="F41" s="85">
        <v>46253</v>
      </c>
      <c r="G41" s="85">
        <v>46346</v>
      </c>
      <c r="H41" s="85">
        <v>46346</v>
      </c>
      <c r="I41" s="85">
        <v>46259</v>
      </c>
      <c r="J41" s="84">
        <f t="shared" si="5"/>
        <v>710</v>
      </c>
      <c r="K41" s="84">
        <v>10</v>
      </c>
      <c r="L41" s="66">
        <v>142</v>
      </c>
      <c r="M41" s="66">
        <v>142</v>
      </c>
      <c r="N41" s="66">
        <v>142</v>
      </c>
      <c r="O41" s="66">
        <v>142</v>
      </c>
      <c r="P41" s="66">
        <v>142</v>
      </c>
      <c r="Q41" s="63" t="s">
        <v>3869</v>
      </c>
      <c r="R41" s="162" t="s">
        <v>104</v>
      </c>
      <c r="S41" s="65" t="s">
        <v>2488</v>
      </c>
      <c r="T41" s="65" t="s">
        <v>2488</v>
      </c>
      <c r="U41" s="65" t="s">
        <v>2488</v>
      </c>
      <c r="V41" s="65" t="s">
        <v>2488</v>
      </c>
      <c r="W41" s="65" t="s">
        <v>4485</v>
      </c>
      <c r="X41" s="60"/>
      <c r="Y41" s="60" t="s">
        <v>3869</v>
      </c>
      <c r="Z41" s="60" t="s">
        <v>4486</v>
      </c>
      <c r="AA41" s="67">
        <v>46346</v>
      </c>
      <c r="AB41" s="68"/>
      <c r="AC41" s="68"/>
      <c r="AD41" s="68"/>
      <c r="AE41" s="70" t="s">
        <v>4502</v>
      </c>
      <c r="AF41" s="41" t="s">
        <v>4489</v>
      </c>
      <c r="AG41" s="2" t="s">
        <v>4499</v>
      </c>
    </row>
    <row r="42" s="2" customFormat="1" ht="25" customHeight="1" spans="1:33">
      <c r="A42" s="59">
        <f t="shared" si="4"/>
        <v>39</v>
      </c>
      <c r="B42" s="84" t="s">
        <v>440</v>
      </c>
      <c r="C42" s="84" t="s">
        <v>114</v>
      </c>
      <c r="D42" s="163" t="s">
        <v>4503</v>
      </c>
      <c r="E42" s="60" t="s">
        <v>4504</v>
      </c>
      <c r="F42" s="85">
        <v>46253</v>
      </c>
      <c r="G42" s="85">
        <v>46381</v>
      </c>
      <c r="H42" s="85">
        <v>46381</v>
      </c>
      <c r="I42" s="85">
        <v>46266</v>
      </c>
      <c r="J42" s="84">
        <f t="shared" si="5"/>
        <v>540</v>
      </c>
      <c r="K42" s="84">
        <v>10</v>
      </c>
      <c r="L42" s="66">
        <v>108</v>
      </c>
      <c r="M42" s="66">
        <v>108</v>
      </c>
      <c r="N42" s="66">
        <v>108</v>
      </c>
      <c r="O42" s="66">
        <v>108</v>
      </c>
      <c r="P42" s="66">
        <v>108</v>
      </c>
      <c r="Q42" s="63" t="s">
        <v>3869</v>
      </c>
      <c r="R42" s="162" t="s">
        <v>104</v>
      </c>
      <c r="S42" s="65" t="s">
        <v>2488</v>
      </c>
      <c r="T42" s="65" t="s">
        <v>2488</v>
      </c>
      <c r="U42" s="65" t="s">
        <v>2488</v>
      </c>
      <c r="V42" s="65" t="s">
        <v>2488</v>
      </c>
      <c r="W42" s="65" t="s">
        <v>4485</v>
      </c>
      <c r="X42" s="60"/>
      <c r="Y42" s="60" t="s">
        <v>3869</v>
      </c>
      <c r="Z42" s="60" t="s">
        <v>4486</v>
      </c>
      <c r="AA42" s="67">
        <v>46381</v>
      </c>
      <c r="AB42" s="68"/>
      <c r="AC42" s="68"/>
      <c r="AD42" s="68"/>
      <c r="AE42" s="70" t="s">
        <v>4505</v>
      </c>
      <c r="AF42" s="41" t="s">
        <v>4489</v>
      </c>
      <c r="AG42" s="2" t="s">
        <v>4499</v>
      </c>
    </row>
    <row r="43" s="2" customFormat="1" ht="25" customHeight="1" spans="1:33">
      <c r="A43" s="59">
        <f t="shared" si="4"/>
        <v>40</v>
      </c>
      <c r="B43" s="84" t="s">
        <v>2890</v>
      </c>
      <c r="C43" s="84" t="s">
        <v>1674</v>
      </c>
      <c r="D43" s="163" t="s">
        <v>4506</v>
      </c>
      <c r="E43" s="60" t="s">
        <v>4507</v>
      </c>
      <c r="F43" s="85">
        <v>46258</v>
      </c>
      <c r="G43" s="85">
        <v>46315</v>
      </c>
      <c r="H43" s="85">
        <v>46339</v>
      </c>
      <c r="I43" s="85">
        <v>46275</v>
      </c>
      <c r="J43" s="84">
        <f t="shared" si="5"/>
        <v>15000</v>
      </c>
      <c r="K43" s="84">
        <v>10</v>
      </c>
      <c r="L43" s="66">
        <v>3000</v>
      </c>
      <c r="M43" s="66">
        <v>3000</v>
      </c>
      <c r="N43" s="66">
        <v>3000</v>
      </c>
      <c r="O43" s="66">
        <v>3000</v>
      </c>
      <c r="P43" s="66">
        <v>3000</v>
      </c>
      <c r="Q43" s="63" t="s">
        <v>3869</v>
      </c>
      <c r="R43" s="162" t="s">
        <v>104</v>
      </c>
      <c r="S43" s="65" t="s">
        <v>2488</v>
      </c>
      <c r="T43" s="65" t="s">
        <v>2488</v>
      </c>
      <c r="U43" s="65" t="s">
        <v>2488</v>
      </c>
      <c r="V43" s="65" t="s">
        <v>2488</v>
      </c>
      <c r="W43" s="65" t="s">
        <v>84</v>
      </c>
      <c r="X43" s="60"/>
      <c r="Y43" s="60" t="s">
        <v>3869</v>
      </c>
      <c r="Z43" s="60" t="s">
        <v>4243</v>
      </c>
      <c r="AA43" s="67">
        <v>46339</v>
      </c>
      <c r="AB43" s="68"/>
      <c r="AC43" s="68"/>
      <c r="AD43" s="68"/>
      <c r="AE43" s="70">
        <v>2672361</v>
      </c>
      <c r="AF43" s="2" t="s">
        <v>4446</v>
      </c>
      <c r="AG43" s="2" t="s">
        <v>4508</v>
      </c>
    </row>
    <row r="44" s="2" customFormat="1" ht="25" customHeight="1" spans="1:33">
      <c r="A44" s="59">
        <f t="shared" si="4"/>
        <v>41</v>
      </c>
      <c r="B44" s="164" t="s">
        <v>440</v>
      </c>
      <c r="C44" s="164" t="s">
        <v>114</v>
      </c>
      <c r="D44" s="165"/>
      <c r="E44" s="164"/>
      <c r="F44" s="166">
        <v>46253</v>
      </c>
      <c r="G44" s="166">
        <v>46386</v>
      </c>
      <c r="H44" s="166">
        <v>46038</v>
      </c>
      <c r="I44" s="166"/>
      <c r="J44" s="164">
        <f t="shared" si="5"/>
        <v>530</v>
      </c>
      <c r="K44" s="164">
        <v>10</v>
      </c>
      <c r="L44" s="66">
        <v>106</v>
      </c>
      <c r="M44" s="66">
        <v>106</v>
      </c>
      <c r="N44" s="66">
        <v>106</v>
      </c>
      <c r="O44" s="66">
        <v>106</v>
      </c>
      <c r="P44" s="66">
        <v>106</v>
      </c>
      <c r="Q44" s="63" t="s">
        <v>3869</v>
      </c>
      <c r="R44" s="162" t="s">
        <v>104</v>
      </c>
      <c r="S44" s="65" t="s">
        <v>2488</v>
      </c>
      <c r="T44" s="65" t="s">
        <v>2488</v>
      </c>
      <c r="U44" s="65" t="s">
        <v>2488</v>
      </c>
      <c r="V44" s="65" t="s">
        <v>2488</v>
      </c>
      <c r="W44" s="65" t="s">
        <v>4485</v>
      </c>
      <c r="X44" s="60"/>
      <c r="Y44" s="60" t="s">
        <v>3869</v>
      </c>
      <c r="Z44" s="60" t="s">
        <v>4486</v>
      </c>
      <c r="AA44" s="67">
        <v>46403</v>
      </c>
      <c r="AB44" s="68"/>
      <c r="AC44" s="68"/>
      <c r="AD44" s="68"/>
      <c r="AE44" s="70" t="s">
        <v>4509</v>
      </c>
      <c r="AF44" s="41" t="s">
        <v>4489</v>
      </c>
      <c r="AG44" s="2" t="s">
        <v>4499</v>
      </c>
    </row>
    <row r="45" s="2" customFormat="1" ht="25" customHeight="1" spans="1:33">
      <c r="A45" s="59">
        <f t="shared" si="4"/>
        <v>42</v>
      </c>
      <c r="B45" s="164" t="s">
        <v>440</v>
      </c>
      <c r="C45" s="164" t="s">
        <v>114</v>
      </c>
      <c r="D45" s="165"/>
      <c r="E45" s="164"/>
      <c r="F45" s="166">
        <v>46253</v>
      </c>
      <c r="G45" s="166">
        <v>46443</v>
      </c>
      <c r="H45" s="166">
        <v>46443</v>
      </c>
      <c r="I45" s="166"/>
      <c r="J45" s="164">
        <f t="shared" si="5"/>
        <v>530</v>
      </c>
      <c r="K45" s="164">
        <v>10</v>
      </c>
      <c r="L45" s="66">
        <v>106</v>
      </c>
      <c r="M45" s="66">
        <v>106</v>
      </c>
      <c r="N45" s="66">
        <v>106</v>
      </c>
      <c r="O45" s="66">
        <v>106</v>
      </c>
      <c r="P45" s="66">
        <v>106</v>
      </c>
      <c r="Q45" s="63" t="s">
        <v>3869</v>
      </c>
      <c r="R45" s="162" t="s">
        <v>104</v>
      </c>
      <c r="S45" s="65" t="s">
        <v>2488</v>
      </c>
      <c r="T45" s="65" t="s">
        <v>2488</v>
      </c>
      <c r="U45" s="65" t="s">
        <v>2488</v>
      </c>
      <c r="V45" s="65" t="s">
        <v>2488</v>
      </c>
      <c r="W45" s="65" t="s">
        <v>4485</v>
      </c>
      <c r="X45" s="60"/>
      <c r="Y45" s="60" t="s">
        <v>3869</v>
      </c>
      <c r="Z45" s="60" t="s">
        <v>4486</v>
      </c>
      <c r="AA45" s="67">
        <v>46443</v>
      </c>
      <c r="AB45" s="68"/>
      <c r="AC45" s="68"/>
      <c r="AD45" s="68"/>
      <c r="AE45" s="70" t="s">
        <v>4510</v>
      </c>
      <c r="AF45" s="41" t="s">
        <v>4489</v>
      </c>
      <c r="AG45" s="2" t="s">
        <v>4499</v>
      </c>
    </row>
    <row r="46" s="2" customFormat="1" ht="25" customHeight="1" spans="1:33">
      <c r="A46" s="59">
        <f t="shared" si="4"/>
        <v>43</v>
      </c>
      <c r="B46" s="87" t="s">
        <v>3162</v>
      </c>
      <c r="C46" s="87" t="s">
        <v>360</v>
      </c>
      <c r="D46" s="88"/>
      <c r="E46" s="88"/>
      <c r="F46" s="89">
        <v>46261</v>
      </c>
      <c r="G46" s="89"/>
      <c r="H46" s="89"/>
      <c r="I46" s="89"/>
      <c r="J46" s="88">
        <f t="shared" si="5"/>
        <v>5000</v>
      </c>
      <c r="K46" s="88">
        <v>10</v>
      </c>
      <c r="L46" s="167">
        <v>1000</v>
      </c>
      <c r="M46" s="167">
        <v>1000</v>
      </c>
      <c r="N46" s="167">
        <v>1000</v>
      </c>
      <c r="O46" s="167">
        <v>1000</v>
      </c>
      <c r="P46" s="167">
        <v>1000</v>
      </c>
      <c r="Q46" s="63" t="s">
        <v>3869</v>
      </c>
      <c r="R46" s="143" t="s">
        <v>104</v>
      </c>
      <c r="S46" s="65" t="s">
        <v>2488</v>
      </c>
      <c r="T46" s="65" t="s">
        <v>2488</v>
      </c>
      <c r="U46" s="65" t="s">
        <v>2488</v>
      </c>
      <c r="V46" s="65" t="s">
        <v>2488</v>
      </c>
      <c r="W46" s="65" t="s">
        <v>84</v>
      </c>
      <c r="X46" s="60"/>
      <c r="Y46" s="60" t="s">
        <v>3869</v>
      </c>
      <c r="Z46" s="66" t="s">
        <v>4250</v>
      </c>
      <c r="AA46" s="67"/>
      <c r="AB46" s="68"/>
      <c r="AC46" s="68"/>
      <c r="AD46" s="69"/>
      <c r="AE46" s="70" t="s">
        <v>3165</v>
      </c>
      <c r="AF46" s="2" t="s">
        <v>4446</v>
      </c>
      <c r="AG46" s="2" t="s">
        <v>2397</v>
      </c>
    </row>
    <row r="47" s="2" customFormat="1" ht="27.95" customHeight="1" spans="1:33">
      <c r="A47" s="59">
        <f t="shared" si="4"/>
        <v>44</v>
      </c>
      <c r="B47" s="91" t="s">
        <v>644</v>
      </c>
      <c r="C47" s="91" t="s">
        <v>645</v>
      </c>
      <c r="D47" s="168" t="s">
        <v>647</v>
      </c>
      <c r="E47" s="91"/>
      <c r="F47" s="92">
        <v>46253</v>
      </c>
      <c r="G47" s="92">
        <v>46350</v>
      </c>
      <c r="H47" s="92"/>
      <c r="I47" s="92"/>
      <c r="J47" s="91">
        <f t="shared" si="5"/>
        <v>1500</v>
      </c>
      <c r="K47" s="91">
        <v>10</v>
      </c>
      <c r="L47" s="66">
        <v>300</v>
      </c>
      <c r="M47" s="66">
        <v>300</v>
      </c>
      <c r="N47" s="66">
        <v>300</v>
      </c>
      <c r="O47" s="66">
        <v>300</v>
      </c>
      <c r="P47" s="66">
        <v>300</v>
      </c>
      <c r="Q47" s="63"/>
      <c r="R47" s="162" t="s">
        <v>104</v>
      </c>
      <c r="S47" s="65"/>
      <c r="T47" s="65"/>
      <c r="U47" s="65"/>
      <c r="V47" s="65"/>
      <c r="W47" s="65" t="s">
        <v>84</v>
      </c>
      <c r="X47" s="60"/>
      <c r="Y47" s="60"/>
      <c r="Z47" s="60"/>
      <c r="AA47" s="67"/>
      <c r="AB47" s="68"/>
      <c r="AC47" s="68"/>
      <c r="AD47" s="68"/>
      <c r="AE47" s="70"/>
      <c r="AF47" s="41" t="s">
        <v>4446</v>
      </c>
    </row>
    <row r="48" s="2" customFormat="1" ht="27.95" customHeight="1" spans="1:33">
      <c r="A48" s="59">
        <f t="shared" si="4"/>
        <v>45</v>
      </c>
      <c r="B48" s="90" t="s">
        <v>4511</v>
      </c>
      <c r="C48" s="90" t="s">
        <v>726</v>
      </c>
      <c r="D48" s="91" t="s">
        <v>4512</v>
      </c>
      <c r="E48" s="91"/>
      <c r="F48" s="92">
        <v>46274</v>
      </c>
      <c r="G48" s="92"/>
      <c r="H48" s="92"/>
      <c r="I48" s="92"/>
      <c r="J48" s="91">
        <f t="shared" si="5"/>
        <v>48395</v>
      </c>
      <c r="K48" s="91">
        <v>10</v>
      </c>
      <c r="L48" s="66">
        <v>9679</v>
      </c>
      <c r="M48" s="66">
        <v>9679</v>
      </c>
      <c r="N48" s="66">
        <v>9679</v>
      </c>
      <c r="O48" s="66">
        <v>9679</v>
      </c>
      <c r="P48" s="66">
        <v>9679</v>
      </c>
      <c r="Q48" s="63"/>
      <c r="R48" s="162" t="s">
        <v>104</v>
      </c>
      <c r="S48" s="65"/>
      <c r="T48" s="65"/>
      <c r="U48" s="65"/>
      <c r="V48" s="65"/>
      <c r="W48" s="65" t="s">
        <v>84</v>
      </c>
      <c r="X48" s="60"/>
      <c r="Y48" s="60"/>
      <c r="Z48" s="60"/>
      <c r="AA48" s="67"/>
      <c r="AB48" s="68"/>
      <c r="AC48" s="68"/>
      <c r="AD48" s="68"/>
      <c r="AE48" s="70"/>
      <c r="AF48" s="41" t="s">
        <v>4446</v>
      </c>
    </row>
    <row r="49" s="2" customFormat="1" ht="23" customHeight="1" spans="1:32">
      <c r="A49" s="59">
        <f t="shared" si="4"/>
        <v>46</v>
      </c>
      <c r="B49" s="90" t="s">
        <v>485</v>
      </c>
      <c r="C49" s="90" t="s">
        <v>486</v>
      </c>
      <c r="D49" s="91" t="s">
        <v>4512</v>
      </c>
      <c r="E49" s="91"/>
      <c r="F49" s="92">
        <v>46276</v>
      </c>
      <c r="G49" s="92"/>
      <c r="H49" s="92"/>
      <c r="I49" s="92"/>
      <c r="J49" s="91">
        <f t="shared" ref="J49:J54" si="6">SUBTOTAL(9,L49:P49)</f>
        <v>15000</v>
      </c>
      <c r="K49" s="91">
        <v>10</v>
      </c>
      <c r="L49" s="66">
        <v>3000</v>
      </c>
      <c r="M49" s="66">
        <v>3000</v>
      </c>
      <c r="N49" s="66">
        <v>3000</v>
      </c>
      <c r="O49" s="66">
        <v>3000</v>
      </c>
      <c r="P49" s="66">
        <v>3000</v>
      </c>
      <c r="Q49" s="63"/>
      <c r="R49" s="162" t="s">
        <v>104</v>
      </c>
      <c r="S49" s="65"/>
      <c r="T49" s="65"/>
      <c r="U49" s="65"/>
      <c r="V49" s="65"/>
      <c r="W49" s="65" t="s">
        <v>84</v>
      </c>
      <c r="X49" s="60"/>
      <c r="Y49" s="60"/>
      <c r="Z49" s="60"/>
      <c r="AA49" s="67"/>
      <c r="AB49" s="68"/>
      <c r="AC49" s="68"/>
      <c r="AD49" s="68"/>
      <c r="AE49" s="70"/>
      <c r="AF49" s="41" t="s">
        <v>4433</v>
      </c>
    </row>
    <row r="50" s="2" customFormat="1" ht="23" customHeight="1" spans="1:32">
      <c r="A50" s="59">
        <f t="shared" si="4"/>
        <v>47</v>
      </c>
      <c r="B50" s="91" t="s">
        <v>420</v>
      </c>
      <c r="C50" s="91" t="s">
        <v>421</v>
      </c>
      <c r="D50" s="91" t="s">
        <v>4389</v>
      </c>
      <c r="E50" s="91"/>
      <c r="F50" s="92"/>
      <c r="G50" s="92"/>
      <c r="H50" s="92"/>
      <c r="I50" s="92"/>
      <c r="J50" s="91">
        <f t="shared" si="6"/>
        <v>10000</v>
      </c>
      <c r="K50" s="91">
        <v>10</v>
      </c>
      <c r="L50" s="66">
        <v>2000</v>
      </c>
      <c r="M50" s="66">
        <v>2000</v>
      </c>
      <c r="N50" s="66">
        <v>2000</v>
      </c>
      <c r="O50" s="66">
        <v>2000</v>
      </c>
      <c r="P50" s="66">
        <v>2000</v>
      </c>
      <c r="Q50" s="63"/>
      <c r="R50" s="162" t="s">
        <v>196</v>
      </c>
      <c r="S50" s="65"/>
      <c r="T50" s="65"/>
      <c r="U50" s="65"/>
      <c r="V50" s="65"/>
      <c r="W50" s="65"/>
      <c r="X50" s="60"/>
      <c r="Y50" s="60"/>
      <c r="Z50" s="60" t="s">
        <v>4221</v>
      </c>
      <c r="AA50" s="67"/>
      <c r="AB50" s="68"/>
      <c r="AC50" s="68"/>
      <c r="AD50" s="68"/>
      <c r="AE50" s="70" t="s">
        <v>4390</v>
      </c>
      <c r="AF50" s="41" t="s">
        <v>4463</v>
      </c>
    </row>
    <row r="51" s="2" customFormat="1" ht="23" customHeight="1" spans="1:32">
      <c r="A51" s="59">
        <f t="shared" si="4"/>
        <v>48</v>
      </c>
      <c r="B51" s="91" t="s">
        <v>420</v>
      </c>
      <c r="C51" s="91" t="s">
        <v>421</v>
      </c>
      <c r="D51" s="91" t="s">
        <v>4513</v>
      </c>
      <c r="E51" s="91"/>
      <c r="F51" s="92"/>
      <c r="G51" s="92"/>
      <c r="H51" s="92"/>
      <c r="I51" s="92"/>
      <c r="J51" s="91">
        <f t="shared" si="6"/>
        <v>3530</v>
      </c>
      <c r="K51" s="91">
        <v>10</v>
      </c>
      <c r="L51" s="66">
        <v>706</v>
      </c>
      <c r="M51" s="66">
        <v>706</v>
      </c>
      <c r="N51" s="66">
        <v>706</v>
      </c>
      <c r="O51" s="66">
        <v>706</v>
      </c>
      <c r="P51" s="66">
        <v>706</v>
      </c>
      <c r="Q51" s="63"/>
      <c r="R51" s="162" t="s">
        <v>196</v>
      </c>
      <c r="S51" s="65"/>
      <c r="T51" s="65"/>
      <c r="U51" s="65"/>
      <c r="V51" s="65"/>
      <c r="W51" s="65"/>
      <c r="X51" s="60"/>
      <c r="Y51" s="60"/>
      <c r="Z51" s="60" t="s">
        <v>4221</v>
      </c>
      <c r="AA51" s="67"/>
      <c r="AB51" s="68"/>
      <c r="AC51" s="68"/>
      <c r="AD51" s="68"/>
      <c r="AE51" s="70" t="s">
        <v>4514</v>
      </c>
      <c r="AF51" s="41" t="s">
        <v>4463</v>
      </c>
    </row>
    <row r="52" s="2" customFormat="1" ht="23" customHeight="1" spans="1:32">
      <c r="A52" s="59">
        <f t="shared" si="4"/>
        <v>49</v>
      </c>
      <c r="B52" s="91" t="s">
        <v>420</v>
      </c>
      <c r="C52" s="91" t="s">
        <v>421</v>
      </c>
      <c r="D52" s="91" t="s">
        <v>4391</v>
      </c>
      <c r="E52" s="91"/>
      <c r="F52" s="92"/>
      <c r="G52" s="92"/>
      <c r="H52" s="92"/>
      <c r="I52" s="92"/>
      <c r="J52" s="91">
        <f t="shared" si="6"/>
        <v>25000</v>
      </c>
      <c r="K52" s="91">
        <v>10</v>
      </c>
      <c r="L52" s="66">
        <v>5000</v>
      </c>
      <c r="M52" s="66">
        <v>5000</v>
      </c>
      <c r="N52" s="66">
        <v>5000</v>
      </c>
      <c r="O52" s="66">
        <v>5000</v>
      </c>
      <c r="P52" s="66">
        <v>5000</v>
      </c>
      <c r="Q52" s="63"/>
      <c r="R52" s="162" t="s">
        <v>196</v>
      </c>
      <c r="S52" s="65"/>
      <c r="T52" s="65"/>
      <c r="U52" s="65"/>
      <c r="V52" s="65"/>
      <c r="W52" s="65"/>
      <c r="X52" s="60"/>
      <c r="Y52" s="60"/>
      <c r="Z52" s="60" t="s">
        <v>4221</v>
      </c>
      <c r="AA52" s="67"/>
      <c r="AB52" s="68"/>
      <c r="AC52" s="68"/>
      <c r="AD52" s="68"/>
      <c r="AE52" s="70" t="s">
        <v>4392</v>
      </c>
      <c r="AF52" s="41" t="s">
        <v>4463</v>
      </c>
    </row>
    <row r="53" s="2" customFormat="1" ht="23" customHeight="1" spans="1:32">
      <c r="A53" s="59">
        <f t="shared" si="4"/>
        <v>50</v>
      </c>
      <c r="B53" s="91" t="s">
        <v>420</v>
      </c>
      <c r="C53" s="91" t="s">
        <v>421</v>
      </c>
      <c r="D53" s="91" t="s">
        <v>4515</v>
      </c>
      <c r="E53" s="91"/>
      <c r="F53" s="92"/>
      <c r="G53" s="92"/>
      <c r="H53" s="92"/>
      <c r="I53" s="92"/>
      <c r="J53" s="91">
        <f t="shared" si="6"/>
        <v>4970</v>
      </c>
      <c r="K53" s="91">
        <v>10</v>
      </c>
      <c r="L53" s="66">
        <v>994</v>
      </c>
      <c r="M53" s="66">
        <v>994</v>
      </c>
      <c r="N53" s="66">
        <v>994</v>
      </c>
      <c r="O53" s="66">
        <v>994</v>
      </c>
      <c r="P53" s="66">
        <v>994</v>
      </c>
      <c r="Q53" s="63"/>
      <c r="R53" s="162" t="s">
        <v>196</v>
      </c>
      <c r="S53" s="65"/>
      <c r="T53" s="65"/>
      <c r="U53" s="65"/>
      <c r="V53" s="65"/>
      <c r="W53" s="65"/>
      <c r="X53" s="60"/>
      <c r="Y53" s="60"/>
      <c r="Z53" s="60" t="s">
        <v>4221</v>
      </c>
      <c r="AA53" s="67"/>
      <c r="AB53" s="68"/>
      <c r="AC53" s="68"/>
      <c r="AD53" s="68"/>
      <c r="AE53" s="70" t="s">
        <v>4516</v>
      </c>
      <c r="AF53" s="41" t="s">
        <v>4463</v>
      </c>
    </row>
    <row r="54" s="2" customFormat="1" ht="23" customHeight="1" spans="1:32">
      <c r="A54" s="59">
        <f t="shared" si="4"/>
        <v>51</v>
      </c>
      <c r="B54" s="91" t="s">
        <v>420</v>
      </c>
      <c r="C54" s="91" t="s">
        <v>421</v>
      </c>
      <c r="D54" s="91" t="s">
        <v>4425</v>
      </c>
      <c r="E54" s="91"/>
      <c r="F54" s="92"/>
      <c r="G54" s="92"/>
      <c r="H54" s="92"/>
      <c r="I54" s="92"/>
      <c r="J54" s="91">
        <f t="shared" si="6"/>
        <v>6450</v>
      </c>
      <c r="K54" s="91">
        <v>10</v>
      </c>
      <c r="L54" s="66">
        <v>1290</v>
      </c>
      <c r="M54" s="66">
        <v>1290</v>
      </c>
      <c r="N54" s="66">
        <v>1290</v>
      </c>
      <c r="O54" s="66">
        <v>1290</v>
      </c>
      <c r="P54" s="66">
        <v>1290</v>
      </c>
      <c r="Q54" s="63"/>
      <c r="R54" s="162" t="s">
        <v>196</v>
      </c>
      <c r="S54" s="65"/>
      <c r="T54" s="65"/>
      <c r="U54" s="65"/>
      <c r="V54" s="65"/>
      <c r="W54" s="65"/>
      <c r="X54" s="60"/>
      <c r="Y54" s="60"/>
      <c r="Z54" s="60" t="s">
        <v>4221</v>
      </c>
      <c r="AA54" s="67"/>
      <c r="AB54" s="68"/>
      <c r="AC54" s="68"/>
      <c r="AD54" s="68"/>
      <c r="AE54" s="70" t="s">
        <v>4426</v>
      </c>
      <c r="AF54" s="41" t="s">
        <v>4463</v>
      </c>
    </row>
    <row r="55" s="2" customFormat="1" ht="27.75" hidden="1" customHeight="1" spans="1:32">
      <c r="A55" s="59">
        <f t="shared" si="4"/>
        <v>52</v>
      </c>
      <c r="B55" s="60"/>
      <c r="C55" s="60"/>
      <c r="D55" s="60"/>
      <c r="E55" s="60"/>
      <c r="F55" s="61"/>
      <c r="G55" s="61"/>
      <c r="H55" s="61"/>
      <c r="I55" s="61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8"/>
      <c r="AB55" s="68"/>
      <c r="AC55" s="68"/>
      <c r="AD55" s="68"/>
      <c r="AE55" s="70"/>
    </row>
    <row r="56" s="3" customFormat="1" ht="17.1" customHeight="1" spans="1:32">
      <c r="A56" s="93" t="s">
        <v>66</v>
      </c>
      <c r="B56" s="94"/>
      <c r="C56" s="94"/>
      <c r="D56" s="94"/>
      <c r="E56" s="94"/>
      <c r="F56" s="94"/>
      <c r="G56" s="94"/>
      <c r="H56" s="94"/>
      <c r="I56" s="94"/>
      <c r="J56" s="95">
        <f>SUM(J4:J55)</f>
        <v>342355</v>
      </c>
      <c r="K56" s="95"/>
      <c r="L56" s="95">
        <f>SUM(L4:L55)</f>
        <v>115481</v>
      </c>
      <c r="M56" s="95">
        <f>SUM(M4:M55)</f>
        <v>115481</v>
      </c>
      <c r="N56" s="95">
        <f>SUM(N4:N55)</f>
        <v>115481</v>
      </c>
      <c r="O56" s="95">
        <f>SUM(O4:O55)</f>
        <v>115481</v>
      </c>
      <c r="P56" s="95">
        <f>SUM(P4:P55)</f>
        <v>115481</v>
      </c>
      <c r="Q56" s="96"/>
      <c r="R56" s="96"/>
      <c r="S56" s="96"/>
      <c r="T56" s="96"/>
      <c r="U56" s="96"/>
      <c r="V56" s="96"/>
      <c r="W56" s="96"/>
      <c r="X56" s="96"/>
      <c r="Y56" s="96"/>
      <c r="Z56" s="97"/>
      <c r="AA56" s="97"/>
      <c r="AB56" s="97"/>
      <c r="AC56" s="97"/>
      <c r="AD56" s="97"/>
      <c r="AE56" s="98"/>
    </row>
    <row r="57" s="4" customFormat="1" ht="17.1" customHeight="1" spans="1:32">
      <c r="A57" s="99"/>
      <c r="B57" s="100"/>
      <c r="C57" s="100"/>
      <c r="D57" s="100"/>
      <c r="E57" s="100"/>
      <c r="F57" s="100"/>
      <c r="G57" s="100"/>
      <c r="H57" s="100"/>
      <c r="I57" s="100"/>
      <c r="J57" s="133">
        <f>SUM(L57:P57)</f>
        <v>462560</v>
      </c>
      <c r="K57" s="100"/>
      <c r="L57" s="100">
        <f t="shared" ref="L57:P57" si="7">9500+3100+23552+15838+600+13900+2612+600+9000+9054+756+3000+1000</f>
        <v>92512</v>
      </c>
      <c r="M57" s="100">
        <f t="shared" si="7"/>
        <v>92512</v>
      </c>
      <c r="N57" s="100">
        <f t="shared" si="7"/>
        <v>92512</v>
      </c>
      <c r="O57" s="100">
        <f t="shared" si="7"/>
        <v>92512</v>
      </c>
      <c r="P57" s="100">
        <f t="shared" si="7"/>
        <v>92512</v>
      </c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1"/>
      <c r="AB57" s="101"/>
      <c r="AC57" s="101"/>
      <c r="AD57" s="101"/>
      <c r="AE57" s="102"/>
    </row>
    <row r="58" s="4" customFormat="1" ht="17.1" customHeight="1" spans="1:32">
      <c r="A58" s="103" t="s">
        <v>67</v>
      </c>
      <c r="B58" s="104"/>
      <c r="C58" s="104"/>
      <c r="D58" s="104"/>
      <c r="E58" s="104"/>
      <c r="F58" s="104"/>
      <c r="G58" s="104"/>
      <c r="H58" s="104"/>
      <c r="I58" s="104"/>
      <c r="J58" s="105">
        <f>SUM(L58:P58)</f>
        <v>-114845</v>
      </c>
      <c r="K58" s="104"/>
      <c r="L58" s="106">
        <f>L57-L56</f>
        <v>-22969</v>
      </c>
      <c r="M58" s="106">
        <f>M57-M56</f>
        <v>-22969</v>
      </c>
      <c r="N58" s="106">
        <f>N57-N56</f>
        <v>-22969</v>
      </c>
      <c r="O58" s="106">
        <f>O57-O56</f>
        <v>-22969</v>
      </c>
      <c r="P58" s="106">
        <f>P57-P56</f>
        <v>-22969</v>
      </c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8"/>
      <c r="AB58" s="108"/>
      <c r="AC58" s="108"/>
      <c r="AD58" s="108"/>
      <c r="AE58" s="109"/>
    </row>
    <row r="59" customFormat="1" spans="1:32">
      <c r="B59" s="110" t="s">
        <v>68</v>
      </c>
      <c r="C59" s="110"/>
      <c r="D59" s="111"/>
      <c r="E59" s="111"/>
      <c r="F59" s="112"/>
      <c r="G59" s="112"/>
      <c r="H59" s="169" t="s">
        <v>4517</v>
      </c>
      <c r="I59" s="169"/>
      <c r="J59" s="170"/>
      <c r="AA59" s="113"/>
      <c r="AB59" s="113"/>
      <c r="AC59" s="113"/>
      <c r="AD59" s="114"/>
      <c r="AF59" s="171"/>
    </row>
  </sheetData>
  <autoFilter xmlns:etc="http://www.wps.cn/officeDocument/2017/etCustomData" ref="A3:AG59" etc:filterBottomFollowUsedRange="0">
    <filterColumn colId="29">
      <filters blank="1"/>
    </filterColumn>
    <extLst/>
  </autoFilter>
  <mergeCells count="34">
    <mergeCell ref="A1:AA1"/>
    <mergeCell ref="AB1:AC1"/>
    <mergeCell ref="AD1:AE1"/>
    <mergeCell ref="L2:P2"/>
    <mergeCell ref="A56:I56"/>
    <mergeCell ref="A57:I57"/>
    <mergeCell ref="A58:I58"/>
    <mergeCell ref="H59:I5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</mergeCells>
  <conditionalFormatting sqref="L58:P58">
    <cfRule type="cellIs" dxfId="0" priority="1" operator="lessThan">
      <formula>0</formula>
    </cfRule>
  </conditionalFormatting>
  <printOptions horizontalCentered="1"/>
  <pageMargins left="0.313888888888889" right="0.313888888888889" top="0.15625" bottom="0" header="0.313888888888889" footer="0.313888888888889"/>
  <pageSetup paperSize="9" scale="75" orientation="landscape"/>
  <headerFooter/>
  <legacy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</sheetPr>
  <dimension ref="A1:AF45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V36" sqref="V36"/>
    </sheetView>
  </sheetViews>
  <sheetFormatPr defaultColWidth="9" defaultRowHeight="14.25"/>
  <cols>
    <col min="1" max="1" width="3.125" style="6" customWidth="1"/>
    <col min="2" max="2" width="10" style="6" customWidth="1"/>
    <col min="3" max="3" width="7.375" style="6" customWidth="1"/>
    <col min="4" max="4" width="11.5" style="6" customWidth="1"/>
    <col min="5" max="5" width="9.5" style="6" customWidth="1"/>
    <col min="6" max="9" width="6.125" style="7" customWidth="1"/>
    <col min="10" max="10" width="8.375" style="6" customWidth="1"/>
    <col min="11" max="11" width="4.875" style="6" customWidth="1"/>
    <col min="12" max="16" width="6.125" style="6" customWidth="1"/>
    <col min="17" max="17" width="8" style="6" customWidth="1"/>
    <col min="18" max="18" width="5.125" style="6" customWidth="1"/>
    <col min="19" max="21" width="5.875" style="6" customWidth="1"/>
    <col min="22" max="23" width="6" style="6" customWidth="1"/>
    <col min="24" max="24" width="7.875" style="6" customWidth="1"/>
    <col min="25" max="25" width="22.875" style="6" customWidth="1"/>
    <col min="26" max="26" width="9.125" style="8"/>
    <col min="27" max="27" width="8.125" style="8" customWidth="1"/>
    <col min="28" max="28" width="8.875" style="8" customWidth="1"/>
    <col min="29" max="29" width="9" style="8" customWidth="1"/>
    <col min="30" max="30" width="17.5" style="6" customWidth="1"/>
    <col min="31" max="31" width="18.125" style="6" customWidth="1"/>
    <col min="32" max="16384" width="9" style="6"/>
  </cols>
  <sheetData>
    <row r="1" ht="35.1" customHeight="1" spans="1:32">
      <c r="A1" s="9" t="s">
        <v>4518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46277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20" t="s">
        <v>15</v>
      </c>
      <c r="S2" s="21" t="s">
        <v>4020</v>
      </c>
      <c r="T2" s="22" t="s">
        <v>1082</v>
      </c>
      <c r="U2" s="22" t="s">
        <v>1081</v>
      </c>
      <c r="V2" s="23" t="s">
        <v>4021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4032</v>
      </c>
      <c r="M3" s="30" t="s">
        <v>4033</v>
      </c>
      <c r="N3" s="30" t="s">
        <v>4034</v>
      </c>
      <c r="O3" s="30" t="s">
        <v>4035</v>
      </c>
      <c r="P3" s="30" t="s">
        <v>4036</v>
      </c>
      <c r="Q3" s="19"/>
      <c r="R3" s="31"/>
      <c r="S3" s="21"/>
      <c r="T3" s="32"/>
      <c r="U3" s="32"/>
      <c r="V3" s="33"/>
      <c r="W3" s="21"/>
      <c r="X3" s="21"/>
      <c r="Y3" s="24"/>
      <c r="Z3" s="25"/>
      <c r="AA3" s="26"/>
      <c r="AB3" s="26"/>
      <c r="AC3" s="26"/>
      <c r="AD3" s="27"/>
    </row>
    <row r="4" s="2" customFormat="1" ht="27.75" hidden="1" customHeight="1" spans="1:32">
      <c r="A4" s="34">
        <f t="shared" ref="A4:A21" si="0">ROW()-3</f>
        <v>1</v>
      </c>
      <c r="B4" s="35" t="s">
        <v>420</v>
      </c>
      <c r="C4" s="35" t="s">
        <v>421</v>
      </c>
      <c r="D4" s="35" t="s">
        <v>4519</v>
      </c>
      <c r="E4" s="35"/>
      <c r="F4" s="36">
        <v>45884</v>
      </c>
      <c r="G4" s="36">
        <v>46020</v>
      </c>
      <c r="H4" s="36">
        <v>46020</v>
      </c>
      <c r="I4" s="36">
        <v>45971</v>
      </c>
      <c r="J4" s="35">
        <f>SUM(L4:P4)</f>
        <v>15400</v>
      </c>
      <c r="K4" s="35">
        <v>10</v>
      </c>
      <c r="L4" s="35">
        <v>3080</v>
      </c>
      <c r="M4" s="35">
        <f>$L4</f>
        <v>3080</v>
      </c>
      <c r="N4" s="35">
        <f>$L4</f>
        <v>3080</v>
      </c>
      <c r="O4" s="35">
        <f>$L4</f>
        <v>3080</v>
      </c>
      <c r="P4" s="35">
        <f>$L4</f>
        <v>3080</v>
      </c>
      <c r="Q4" s="35" t="s">
        <v>4440</v>
      </c>
      <c r="R4" s="35" t="s">
        <v>81</v>
      </c>
      <c r="S4" s="38" t="s">
        <v>4520</v>
      </c>
      <c r="T4" s="38" t="s">
        <v>4520</v>
      </c>
      <c r="U4" s="38" t="s">
        <v>4520</v>
      </c>
      <c r="V4" s="38" t="s">
        <v>4520</v>
      </c>
      <c r="W4" s="35" t="s">
        <v>816</v>
      </c>
      <c r="X4" s="35" t="s">
        <v>4440</v>
      </c>
      <c r="Y4" s="35" t="s">
        <v>4521</v>
      </c>
      <c r="Z4" s="39">
        <v>46020</v>
      </c>
      <c r="AA4" s="39">
        <v>46020</v>
      </c>
      <c r="AB4" s="39"/>
      <c r="AC4" s="39">
        <v>46030</v>
      </c>
      <c r="AD4" s="40" t="s">
        <v>4522</v>
      </c>
      <c r="AE4" s="42" t="s">
        <v>4523</v>
      </c>
    </row>
    <row r="5" s="2" customFormat="1" ht="27.75" hidden="1" customHeight="1" spans="1:32">
      <c r="A5" s="34">
        <f t="shared" si="0"/>
        <v>2</v>
      </c>
      <c r="B5" s="35" t="s">
        <v>270</v>
      </c>
      <c r="C5" s="35" t="s">
        <v>271</v>
      </c>
      <c r="D5" s="35" t="s">
        <v>4362</v>
      </c>
      <c r="E5" s="35" t="s">
        <v>4363</v>
      </c>
      <c r="F5" s="36">
        <v>46006</v>
      </c>
      <c r="G5" s="36">
        <v>46090</v>
      </c>
      <c r="H5" s="36">
        <v>46090</v>
      </c>
      <c r="I5" s="36">
        <v>46038</v>
      </c>
      <c r="J5" s="35">
        <f t="shared" ref="J5:J11" si="1">SUBTOTAL(9,L5:P5)</f>
        <v>0</v>
      </c>
      <c r="K5" s="35">
        <v>10</v>
      </c>
      <c r="L5" s="37">
        <v>300</v>
      </c>
      <c r="M5" s="37">
        <v>300</v>
      </c>
      <c r="N5" s="37">
        <v>300</v>
      </c>
      <c r="O5" s="37">
        <v>300</v>
      </c>
      <c r="P5" s="37">
        <v>300</v>
      </c>
      <c r="Q5" s="35" t="s">
        <v>4364</v>
      </c>
      <c r="R5" s="46" t="s">
        <v>104</v>
      </c>
      <c r="S5" s="38" t="s">
        <v>4365</v>
      </c>
      <c r="T5" s="38" t="s">
        <v>3735</v>
      </c>
      <c r="U5" s="38" t="s">
        <v>4365</v>
      </c>
      <c r="V5" s="38" t="s">
        <v>3735</v>
      </c>
      <c r="W5" s="35" t="s">
        <v>2099</v>
      </c>
      <c r="X5" s="35" t="s">
        <v>4364</v>
      </c>
      <c r="Y5" s="35" t="s">
        <v>4366</v>
      </c>
      <c r="Z5" s="39">
        <v>46088</v>
      </c>
      <c r="AA5" s="44">
        <v>46114</v>
      </c>
      <c r="AB5" s="39"/>
      <c r="AC5" s="39">
        <v>46155</v>
      </c>
      <c r="AD5" s="40" t="s">
        <v>4367</v>
      </c>
      <c r="AE5" s="41" t="s">
        <v>4524</v>
      </c>
    </row>
    <row r="6" s="2" customFormat="1" ht="27.75" hidden="1" customHeight="1" spans="1:32">
      <c r="A6" s="34">
        <f t="shared" si="0"/>
        <v>3</v>
      </c>
      <c r="B6" s="35" t="s">
        <v>270</v>
      </c>
      <c r="C6" s="35" t="s">
        <v>271</v>
      </c>
      <c r="D6" s="35" t="s">
        <v>4525</v>
      </c>
      <c r="E6" s="35" t="s">
        <v>4369</v>
      </c>
      <c r="F6" s="36">
        <v>46006</v>
      </c>
      <c r="G6" s="36">
        <v>46088</v>
      </c>
      <c r="H6" s="36">
        <v>46088</v>
      </c>
      <c r="I6" s="36">
        <v>46087</v>
      </c>
      <c r="J6" s="35">
        <f t="shared" si="1"/>
        <v>0</v>
      </c>
      <c r="K6" s="35">
        <v>10</v>
      </c>
      <c r="L6" s="37">
        <v>200</v>
      </c>
      <c r="M6" s="37">
        <v>200</v>
      </c>
      <c r="N6" s="37">
        <v>200</v>
      </c>
      <c r="O6" s="37">
        <v>200</v>
      </c>
      <c r="P6" s="37">
        <v>200</v>
      </c>
      <c r="Q6" s="35" t="s">
        <v>4364</v>
      </c>
      <c r="R6" s="46" t="s">
        <v>104</v>
      </c>
      <c r="S6" s="38" t="s">
        <v>4365</v>
      </c>
      <c r="T6" s="38" t="s">
        <v>3735</v>
      </c>
      <c r="U6" s="38" t="s">
        <v>4365</v>
      </c>
      <c r="V6" s="38" t="s">
        <v>3735</v>
      </c>
      <c r="W6" s="35" t="s">
        <v>4370</v>
      </c>
      <c r="X6" s="35" t="s">
        <v>4364</v>
      </c>
      <c r="Y6" s="35" t="s">
        <v>4366</v>
      </c>
      <c r="Z6" s="39">
        <v>46086</v>
      </c>
      <c r="AA6" s="44">
        <v>46114</v>
      </c>
      <c r="AB6" s="39"/>
      <c r="AC6" s="39">
        <v>46155</v>
      </c>
      <c r="AD6" s="40" t="s">
        <v>4371</v>
      </c>
      <c r="AE6" s="41" t="s">
        <v>4524</v>
      </c>
    </row>
    <row r="7" s="2" customFormat="1" ht="27.75" hidden="1" customHeight="1" spans="1:32">
      <c r="A7" s="47">
        <f t="shared" si="0"/>
        <v>4</v>
      </c>
      <c r="B7" s="37" t="s">
        <v>4526</v>
      </c>
      <c r="C7" s="37" t="s">
        <v>645</v>
      </c>
      <c r="D7" s="37" t="s">
        <v>4527</v>
      </c>
      <c r="E7" s="37" t="s">
        <v>4528</v>
      </c>
      <c r="F7" s="56">
        <v>46043</v>
      </c>
      <c r="G7" s="56">
        <v>46150</v>
      </c>
      <c r="H7" s="56">
        <v>46150</v>
      </c>
      <c r="I7" s="56">
        <v>46086</v>
      </c>
      <c r="J7" s="37">
        <f t="shared" si="1"/>
        <v>0</v>
      </c>
      <c r="K7" s="37">
        <v>10</v>
      </c>
      <c r="L7" s="37">
        <v>500</v>
      </c>
      <c r="M7" s="37">
        <v>500</v>
      </c>
      <c r="N7" s="37">
        <v>500</v>
      </c>
      <c r="O7" s="37">
        <v>500</v>
      </c>
      <c r="P7" s="37">
        <v>500</v>
      </c>
      <c r="Q7" s="37" t="s">
        <v>2495</v>
      </c>
      <c r="R7" s="46" t="s">
        <v>104</v>
      </c>
      <c r="S7" s="54" t="s">
        <v>4154</v>
      </c>
      <c r="T7" s="54" t="s">
        <v>3735</v>
      </c>
      <c r="U7" s="54" t="s">
        <v>4154</v>
      </c>
      <c r="V7" s="54" t="s">
        <v>3735</v>
      </c>
      <c r="W7" s="37" t="s">
        <v>3417</v>
      </c>
      <c r="X7" s="37" t="s">
        <v>2495</v>
      </c>
      <c r="Y7" s="37" t="s">
        <v>4529</v>
      </c>
      <c r="Z7" s="44">
        <v>46150</v>
      </c>
      <c r="AA7" s="44">
        <v>46150</v>
      </c>
      <c r="AB7" s="44"/>
      <c r="AC7" s="44">
        <v>46163</v>
      </c>
      <c r="AD7" s="55"/>
      <c r="AE7" s="41" t="s">
        <v>4530</v>
      </c>
      <c r="AF7" s="2" t="s">
        <v>1610</v>
      </c>
    </row>
    <row r="8" s="2" customFormat="1" ht="27.75" hidden="1" customHeight="1" spans="1:32">
      <c r="A8" s="47">
        <f t="shared" si="0"/>
        <v>5</v>
      </c>
      <c r="B8" s="37" t="s">
        <v>359</v>
      </c>
      <c r="C8" s="37" t="s">
        <v>360</v>
      </c>
      <c r="D8" s="37" t="s">
        <v>4302</v>
      </c>
      <c r="E8" s="37" t="s">
        <v>4303</v>
      </c>
      <c r="F8" s="56">
        <v>46079</v>
      </c>
      <c r="G8" s="56">
        <v>46154</v>
      </c>
      <c r="H8" s="56">
        <v>46154</v>
      </c>
      <c r="I8" s="56">
        <v>46085</v>
      </c>
      <c r="J8" s="37">
        <f t="shared" si="1"/>
        <v>0</v>
      </c>
      <c r="K8" s="37">
        <v>10</v>
      </c>
      <c r="L8" s="37">
        <v>2000</v>
      </c>
      <c r="M8" s="37">
        <v>2000</v>
      </c>
      <c r="N8" s="37">
        <v>2000</v>
      </c>
      <c r="O8" s="37">
        <v>2000</v>
      </c>
      <c r="P8" s="37">
        <v>2000</v>
      </c>
      <c r="Q8" s="37" t="s">
        <v>2495</v>
      </c>
      <c r="R8" s="46" t="s">
        <v>104</v>
      </c>
      <c r="S8" s="54" t="s">
        <v>4154</v>
      </c>
      <c r="T8" s="54" t="s">
        <v>3735</v>
      </c>
      <c r="U8" s="54" t="s">
        <v>4154</v>
      </c>
      <c r="V8" s="54" t="s">
        <v>3735</v>
      </c>
      <c r="W8" s="37" t="s">
        <v>3417</v>
      </c>
      <c r="X8" s="37" t="s">
        <v>2495</v>
      </c>
      <c r="Y8" s="37" t="s">
        <v>4304</v>
      </c>
      <c r="Z8" s="44">
        <v>46154</v>
      </c>
      <c r="AA8" s="44">
        <v>46150</v>
      </c>
      <c r="AB8" s="44"/>
      <c r="AC8" s="44">
        <v>46157</v>
      </c>
      <c r="AD8" s="55" t="s">
        <v>4305</v>
      </c>
      <c r="AE8" s="41" t="s">
        <v>4530</v>
      </c>
      <c r="AF8" s="2" t="s">
        <v>1607</v>
      </c>
    </row>
    <row r="9" s="2" customFormat="1" ht="27.75" hidden="1" customHeight="1" spans="1:32">
      <c r="A9" s="47">
        <f t="shared" si="0"/>
        <v>6</v>
      </c>
      <c r="B9" s="48" t="s">
        <v>740</v>
      </c>
      <c r="C9" s="49" t="s">
        <v>741</v>
      </c>
      <c r="D9" s="50" t="s">
        <v>742</v>
      </c>
      <c r="E9" s="51" t="s">
        <v>743</v>
      </c>
      <c r="F9" s="52">
        <v>46083</v>
      </c>
      <c r="G9" s="52">
        <v>46165</v>
      </c>
      <c r="H9" s="52">
        <v>46165</v>
      </c>
      <c r="I9" s="53">
        <v>46133</v>
      </c>
      <c r="J9" s="37">
        <f t="shared" si="1"/>
        <v>0</v>
      </c>
      <c r="K9" s="37">
        <v>10</v>
      </c>
      <c r="L9" s="37">
        <v>400</v>
      </c>
      <c r="M9" s="37">
        <v>400</v>
      </c>
      <c r="N9" s="37">
        <v>400</v>
      </c>
      <c r="O9" s="37">
        <v>400</v>
      </c>
      <c r="P9" s="37">
        <v>400</v>
      </c>
      <c r="Q9" s="37" t="s">
        <v>2495</v>
      </c>
      <c r="R9" s="46" t="s">
        <v>104</v>
      </c>
      <c r="S9" s="54" t="s">
        <v>4083</v>
      </c>
      <c r="T9" s="54" t="s">
        <v>4083</v>
      </c>
      <c r="U9" s="54" t="s">
        <v>4083</v>
      </c>
      <c r="V9" s="54" t="s">
        <v>4084</v>
      </c>
      <c r="W9" s="37" t="s">
        <v>744</v>
      </c>
      <c r="X9" s="37" t="s">
        <v>2495</v>
      </c>
      <c r="Y9" s="37" t="s">
        <v>4218</v>
      </c>
      <c r="Z9" s="44">
        <v>46165</v>
      </c>
      <c r="AA9" s="44">
        <v>46169</v>
      </c>
      <c r="AB9" s="44"/>
      <c r="AC9" s="44">
        <v>46174</v>
      </c>
      <c r="AD9" s="55">
        <v>740</v>
      </c>
      <c r="AE9" s="41" t="s">
        <v>4530</v>
      </c>
      <c r="AF9" s="2" t="s">
        <v>2533</v>
      </c>
    </row>
    <row r="10" s="2" customFormat="1" ht="27.75" hidden="1" customHeight="1" spans="1:32">
      <c r="A10" s="47">
        <f t="shared" si="0"/>
        <v>7</v>
      </c>
      <c r="B10" s="37" t="s">
        <v>420</v>
      </c>
      <c r="C10" s="37" t="s">
        <v>421</v>
      </c>
      <c r="D10" s="37" t="s">
        <v>4396</v>
      </c>
      <c r="E10" s="37" t="s">
        <v>4397</v>
      </c>
      <c r="F10" s="56">
        <v>46094</v>
      </c>
      <c r="G10" s="56">
        <v>46169</v>
      </c>
      <c r="H10" s="56">
        <v>46169</v>
      </c>
      <c r="I10" s="56">
        <v>46136</v>
      </c>
      <c r="J10" s="37">
        <f t="shared" si="1"/>
        <v>0</v>
      </c>
      <c r="K10" s="37">
        <v>10</v>
      </c>
      <c r="L10" s="37">
        <v>5000</v>
      </c>
      <c r="M10" s="37">
        <v>5000</v>
      </c>
      <c r="N10" s="37">
        <v>5000</v>
      </c>
      <c r="O10" s="37">
        <v>5000</v>
      </c>
      <c r="P10" s="37">
        <v>5000</v>
      </c>
      <c r="Q10" s="37" t="s">
        <v>2495</v>
      </c>
      <c r="R10" s="46" t="s">
        <v>196</v>
      </c>
      <c r="S10" s="54" t="s">
        <v>4083</v>
      </c>
      <c r="T10" s="54" t="s">
        <v>4083</v>
      </c>
      <c r="U10" s="54" t="s">
        <v>4083</v>
      </c>
      <c r="V10" s="54" t="s">
        <v>4084</v>
      </c>
      <c r="W10" s="54" t="s">
        <v>501</v>
      </c>
      <c r="X10" s="37" t="s">
        <v>2495</v>
      </c>
      <c r="Y10" s="37" t="s">
        <v>4221</v>
      </c>
      <c r="Z10" s="44">
        <v>46169</v>
      </c>
      <c r="AA10" s="44">
        <v>46170</v>
      </c>
      <c r="AB10" s="44"/>
      <c r="AC10" s="44">
        <v>46186</v>
      </c>
      <c r="AD10" s="55" t="s">
        <v>4398</v>
      </c>
      <c r="AE10" s="154" t="s">
        <v>4523</v>
      </c>
      <c r="AF10" s="2" t="s">
        <v>3235</v>
      </c>
    </row>
    <row r="11" s="2" customFormat="1" ht="30" hidden="1" customHeight="1" spans="1:32">
      <c r="A11" s="47">
        <f t="shared" si="0"/>
        <v>8</v>
      </c>
      <c r="B11" s="37" t="s">
        <v>359</v>
      </c>
      <c r="C11" s="37" t="s">
        <v>360</v>
      </c>
      <c r="D11" s="37" t="s">
        <v>4319</v>
      </c>
      <c r="E11" s="37" t="s">
        <v>4320</v>
      </c>
      <c r="F11" s="56">
        <v>46140</v>
      </c>
      <c r="G11" s="56">
        <v>46175</v>
      </c>
      <c r="H11" s="56">
        <v>46175</v>
      </c>
      <c r="I11" s="56">
        <v>46147</v>
      </c>
      <c r="J11" s="37">
        <f t="shared" si="1"/>
        <v>0</v>
      </c>
      <c r="K11" s="37">
        <v>10</v>
      </c>
      <c r="L11" s="37">
        <v>100</v>
      </c>
      <c r="M11" s="37">
        <v>100</v>
      </c>
      <c r="N11" s="37">
        <v>100</v>
      </c>
      <c r="O11" s="37">
        <v>100</v>
      </c>
      <c r="P11" s="37">
        <v>100</v>
      </c>
      <c r="Q11" s="37" t="s">
        <v>499</v>
      </c>
      <c r="R11" s="46" t="s">
        <v>104</v>
      </c>
      <c r="S11" s="54" t="s">
        <v>526</v>
      </c>
      <c r="T11" s="54" t="s">
        <v>526</v>
      </c>
      <c r="U11" s="54" t="s">
        <v>526</v>
      </c>
      <c r="V11" s="54" t="s">
        <v>1184</v>
      </c>
      <c r="W11" s="54" t="s">
        <v>144</v>
      </c>
      <c r="X11" s="37" t="s">
        <v>499</v>
      </c>
      <c r="Y11" s="37" t="s">
        <v>4250</v>
      </c>
      <c r="Z11" s="44">
        <v>46174</v>
      </c>
      <c r="AA11" s="44">
        <v>46178</v>
      </c>
      <c r="AB11" s="44"/>
      <c r="AC11" s="44">
        <v>46184</v>
      </c>
      <c r="AD11" s="55" t="s">
        <v>1771</v>
      </c>
      <c r="AE11" s="41" t="s">
        <v>4530</v>
      </c>
      <c r="AF11" s="2" t="s">
        <v>1802</v>
      </c>
    </row>
    <row r="12" s="2" customFormat="1" ht="27.6" hidden="1" customHeight="1" spans="1:32">
      <c r="A12" s="47">
        <f t="shared" si="0"/>
        <v>9</v>
      </c>
      <c r="B12" s="37" t="s">
        <v>3162</v>
      </c>
      <c r="C12" s="37" t="s">
        <v>360</v>
      </c>
      <c r="D12" s="37" t="s">
        <v>4223</v>
      </c>
      <c r="E12" s="37" t="s">
        <v>4224</v>
      </c>
      <c r="F12" s="56">
        <v>46099</v>
      </c>
      <c r="G12" s="56">
        <v>46177</v>
      </c>
      <c r="H12" s="56">
        <v>46177</v>
      </c>
      <c r="I12" s="56">
        <v>46134</v>
      </c>
      <c r="J12" s="37">
        <f>SUM(L12:P12)</f>
        <v>2500</v>
      </c>
      <c r="K12" s="37">
        <v>10</v>
      </c>
      <c r="L12" s="37">
        <v>500</v>
      </c>
      <c r="M12" s="37">
        <v>500</v>
      </c>
      <c r="N12" s="37">
        <v>500</v>
      </c>
      <c r="O12" s="37">
        <v>500</v>
      </c>
      <c r="P12" s="37">
        <v>500</v>
      </c>
      <c r="Q12" s="37" t="s">
        <v>499</v>
      </c>
      <c r="R12" s="46" t="s">
        <v>104</v>
      </c>
      <c r="S12" s="54" t="s">
        <v>501</v>
      </c>
      <c r="T12" s="54" t="s">
        <v>501</v>
      </c>
      <c r="U12" s="54" t="s">
        <v>501</v>
      </c>
      <c r="V12" s="54" t="s">
        <v>1184</v>
      </c>
      <c r="W12" s="37" t="s">
        <v>1072</v>
      </c>
      <c r="X12" s="37" t="s">
        <v>499</v>
      </c>
      <c r="Y12" s="37" t="s">
        <v>4225</v>
      </c>
      <c r="Z12" s="44">
        <v>46177</v>
      </c>
      <c r="AA12" s="44">
        <v>46178</v>
      </c>
      <c r="AB12" s="44"/>
      <c r="AC12" s="44">
        <v>46179</v>
      </c>
      <c r="AD12" s="55" t="s">
        <v>4226</v>
      </c>
      <c r="AE12" s="41" t="s">
        <v>4530</v>
      </c>
      <c r="AF12" s="2" t="s">
        <v>1782</v>
      </c>
    </row>
    <row r="13" s="2" customFormat="1" ht="27.6" hidden="1" customHeight="1" spans="1:32">
      <c r="A13" s="34">
        <f t="shared" si="0"/>
        <v>10</v>
      </c>
      <c r="B13" s="35" t="s">
        <v>4400</v>
      </c>
      <c r="C13" s="35" t="s">
        <v>645</v>
      </c>
      <c r="D13" s="35" t="s">
        <v>4401</v>
      </c>
      <c r="E13" s="35" t="s">
        <v>4402</v>
      </c>
      <c r="F13" s="36">
        <v>46086</v>
      </c>
      <c r="G13" s="36">
        <v>46183</v>
      </c>
      <c r="H13" s="36">
        <v>46183</v>
      </c>
      <c r="I13" s="36">
        <v>46108</v>
      </c>
      <c r="J13" s="35">
        <f t="shared" ref="J13:J22" si="2">SUBTOTAL(9,L13:P13)</f>
        <v>0</v>
      </c>
      <c r="K13" s="35">
        <v>10</v>
      </c>
      <c r="L13" s="37">
        <v>360</v>
      </c>
      <c r="M13" s="37">
        <v>360</v>
      </c>
      <c r="N13" s="37">
        <v>360</v>
      </c>
      <c r="O13" s="37">
        <v>360</v>
      </c>
      <c r="P13" s="37">
        <v>360</v>
      </c>
      <c r="Q13" s="35" t="s">
        <v>499</v>
      </c>
      <c r="R13" s="45" t="s">
        <v>104</v>
      </c>
      <c r="S13" s="38" t="s">
        <v>501</v>
      </c>
      <c r="T13" s="38" t="s">
        <v>501</v>
      </c>
      <c r="U13" s="38" t="s">
        <v>501</v>
      </c>
      <c r="V13" s="38" t="s">
        <v>1184</v>
      </c>
      <c r="W13" s="35" t="s">
        <v>1072</v>
      </c>
      <c r="X13" s="35" t="s">
        <v>499</v>
      </c>
      <c r="Y13" s="37" t="s">
        <v>4403</v>
      </c>
      <c r="Z13" s="39">
        <v>46183</v>
      </c>
      <c r="AA13" s="44">
        <v>46185</v>
      </c>
      <c r="AB13" s="39"/>
      <c r="AC13" s="39">
        <v>46238</v>
      </c>
      <c r="AD13" s="40"/>
      <c r="AE13" s="41" t="s">
        <v>4530</v>
      </c>
      <c r="AF13" s="2" t="s">
        <v>2533</v>
      </c>
    </row>
    <row r="14" s="2" customFormat="1" ht="27.6" hidden="1" customHeight="1" spans="1:32">
      <c r="A14" s="34">
        <f t="shared" si="0"/>
        <v>11</v>
      </c>
      <c r="B14" s="35" t="s">
        <v>420</v>
      </c>
      <c r="C14" s="35" t="s">
        <v>421</v>
      </c>
      <c r="D14" s="37" t="s">
        <v>4230</v>
      </c>
      <c r="E14" s="35" t="s">
        <v>4231</v>
      </c>
      <c r="F14" s="36">
        <v>46113</v>
      </c>
      <c r="G14" s="36">
        <v>46183</v>
      </c>
      <c r="H14" s="36">
        <v>46183</v>
      </c>
      <c r="I14" s="36">
        <v>46136</v>
      </c>
      <c r="J14" s="35">
        <f t="shared" si="2"/>
        <v>0</v>
      </c>
      <c r="K14" s="35">
        <v>10</v>
      </c>
      <c r="L14" s="37">
        <v>880</v>
      </c>
      <c r="M14" s="37">
        <v>880</v>
      </c>
      <c r="N14" s="37">
        <v>880</v>
      </c>
      <c r="O14" s="37">
        <v>880</v>
      </c>
      <c r="P14" s="37">
        <v>880</v>
      </c>
      <c r="Q14" s="35" t="s">
        <v>499</v>
      </c>
      <c r="R14" s="45" t="s">
        <v>196</v>
      </c>
      <c r="S14" s="38" t="s">
        <v>501</v>
      </c>
      <c r="T14" s="38" t="s">
        <v>501</v>
      </c>
      <c r="U14" s="38" t="s">
        <v>501</v>
      </c>
      <c r="V14" s="38" t="s">
        <v>1184</v>
      </c>
      <c r="W14" s="35" t="s">
        <v>144</v>
      </c>
      <c r="X14" s="35" t="s">
        <v>499</v>
      </c>
      <c r="Y14" s="37" t="s">
        <v>4210</v>
      </c>
      <c r="Z14" s="39">
        <v>46183</v>
      </c>
      <c r="AA14" s="57">
        <v>46189</v>
      </c>
      <c r="AB14" s="39"/>
      <c r="AC14" s="39">
        <v>46196</v>
      </c>
      <c r="AD14" s="40" t="s">
        <v>4233</v>
      </c>
      <c r="AE14" s="41" t="s">
        <v>4523</v>
      </c>
      <c r="AF14" s="2" t="s">
        <v>1782</v>
      </c>
    </row>
    <row r="15" s="2" customFormat="1" ht="27.6" hidden="1" customHeight="1" spans="1:32">
      <c r="A15" s="34">
        <f t="shared" si="0"/>
        <v>12</v>
      </c>
      <c r="B15" s="35" t="s">
        <v>4531</v>
      </c>
      <c r="C15" s="35" t="s">
        <v>486</v>
      </c>
      <c r="D15" s="37" t="s">
        <v>4532</v>
      </c>
      <c r="E15" s="35" t="s">
        <v>4533</v>
      </c>
      <c r="F15" s="36">
        <v>46104</v>
      </c>
      <c r="G15" s="36">
        <v>46189</v>
      </c>
      <c r="H15" s="36">
        <v>46189</v>
      </c>
      <c r="I15" s="36">
        <v>46127</v>
      </c>
      <c r="J15" s="35">
        <f t="shared" si="2"/>
        <v>0</v>
      </c>
      <c r="K15" s="35">
        <v>10</v>
      </c>
      <c r="L15" s="37">
        <v>200</v>
      </c>
      <c r="M15" s="37">
        <v>200</v>
      </c>
      <c r="N15" s="37">
        <v>200</v>
      </c>
      <c r="O15" s="37">
        <v>200</v>
      </c>
      <c r="P15" s="37">
        <v>200</v>
      </c>
      <c r="Q15" s="35" t="s">
        <v>499</v>
      </c>
      <c r="R15" s="45" t="s">
        <v>104</v>
      </c>
      <c r="S15" s="38" t="s">
        <v>501</v>
      </c>
      <c r="T15" s="38" t="s">
        <v>501</v>
      </c>
      <c r="U15" s="38" t="s">
        <v>501</v>
      </c>
      <c r="V15" s="38" t="s">
        <v>1184</v>
      </c>
      <c r="W15" s="35" t="s">
        <v>144</v>
      </c>
      <c r="X15" s="35" t="s">
        <v>499</v>
      </c>
      <c r="Y15" s="35" t="s">
        <v>4314</v>
      </c>
      <c r="Z15" s="39">
        <v>46189</v>
      </c>
      <c r="AA15" s="57">
        <v>46191</v>
      </c>
      <c r="AB15" s="39"/>
      <c r="AC15" s="39">
        <v>46209</v>
      </c>
      <c r="AD15" s="40" t="s">
        <v>4534</v>
      </c>
      <c r="AE15" s="41" t="s">
        <v>4530</v>
      </c>
      <c r="AF15" s="2" t="s">
        <v>1782</v>
      </c>
    </row>
    <row r="16" s="2" customFormat="1" ht="27.6" hidden="1" customHeight="1" spans="1:32">
      <c r="A16" s="34">
        <f t="shared" si="0"/>
        <v>13</v>
      </c>
      <c r="B16" s="35" t="s">
        <v>4535</v>
      </c>
      <c r="C16" s="35" t="s">
        <v>1932</v>
      </c>
      <c r="D16" s="37" t="s">
        <v>2754</v>
      </c>
      <c r="E16" s="35" t="s">
        <v>2755</v>
      </c>
      <c r="F16" s="36">
        <v>46105</v>
      </c>
      <c r="G16" s="36">
        <v>46190</v>
      </c>
      <c r="H16" s="36">
        <v>46190</v>
      </c>
      <c r="I16" s="36">
        <v>46125</v>
      </c>
      <c r="J16" s="35">
        <f t="shared" si="2"/>
        <v>0</v>
      </c>
      <c r="K16" s="35">
        <v>10</v>
      </c>
      <c r="L16" s="37">
        <v>480</v>
      </c>
      <c r="M16" s="37">
        <v>480</v>
      </c>
      <c r="N16" s="37">
        <v>480</v>
      </c>
      <c r="O16" s="37">
        <v>480</v>
      </c>
      <c r="P16" s="37">
        <v>480</v>
      </c>
      <c r="Q16" s="35" t="s">
        <v>499</v>
      </c>
      <c r="R16" s="45" t="s">
        <v>104</v>
      </c>
      <c r="S16" s="38" t="s">
        <v>501</v>
      </c>
      <c r="T16" s="38" t="s">
        <v>501</v>
      </c>
      <c r="U16" s="38" t="s">
        <v>501</v>
      </c>
      <c r="V16" s="38" t="s">
        <v>1184</v>
      </c>
      <c r="W16" s="35" t="s">
        <v>144</v>
      </c>
      <c r="X16" s="35" t="s">
        <v>499</v>
      </c>
      <c r="Y16" s="35" t="s">
        <v>4468</v>
      </c>
      <c r="Z16" s="39">
        <v>46190</v>
      </c>
      <c r="AA16" s="57">
        <v>46191</v>
      </c>
      <c r="AB16" s="39"/>
      <c r="AC16" s="39">
        <v>46212</v>
      </c>
      <c r="AD16" s="40">
        <v>50002320</v>
      </c>
      <c r="AE16" s="41" t="s">
        <v>4530</v>
      </c>
      <c r="AF16" s="2" t="s">
        <v>1782</v>
      </c>
    </row>
    <row r="17" s="2" customFormat="1" ht="27.6" hidden="1" customHeight="1" spans="1:32">
      <c r="A17" s="34">
        <f t="shared" si="0"/>
        <v>14</v>
      </c>
      <c r="B17" s="35" t="s">
        <v>420</v>
      </c>
      <c r="C17" s="35" t="s">
        <v>421</v>
      </c>
      <c r="D17" s="37" t="s">
        <v>4234</v>
      </c>
      <c r="E17" s="35" t="s">
        <v>4235</v>
      </c>
      <c r="F17" s="36">
        <v>46113</v>
      </c>
      <c r="G17" s="36">
        <v>46192</v>
      </c>
      <c r="H17" s="36">
        <v>46192</v>
      </c>
      <c r="I17" s="36">
        <v>46136</v>
      </c>
      <c r="J17" s="35">
        <f t="shared" si="2"/>
        <v>0</v>
      </c>
      <c r="K17" s="35">
        <v>10</v>
      </c>
      <c r="L17" s="37">
        <v>6000</v>
      </c>
      <c r="M17" s="37">
        <v>6000</v>
      </c>
      <c r="N17" s="37">
        <v>6000</v>
      </c>
      <c r="O17" s="37">
        <v>6000</v>
      </c>
      <c r="P17" s="37">
        <v>6000</v>
      </c>
      <c r="Q17" s="35" t="s">
        <v>499</v>
      </c>
      <c r="R17" s="45" t="s">
        <v>196</v>
      </c>
      <c r="S17" s="38" t="s">
        <v>501</v>
      </c>
      <c r="T17" s="38" t="s">
        <v>501</v>
      </c>
      <c r="U17" s="38" t="s">
        <v>501</v>
      </c>
      <c r="V17" s="38" t="s">
        <v>1184</v>
      </c>
      <c r="W17" s="35" t="s">
        <v>144</v>
      </c>
      <c r="X17" s="35" t="s">
        <v>499</v>
      </c>
      <c r="Y17" s="37" t="s">
        <v>4210</v>
      </c>
      <c r="Z17" s="39">
        <v>46192</v>
      </c>
      <c r="AA17" s="57">
        <v>46211</v>
      </c>
      <c r="AB17" s="39"/>
      <c r="AC17" s="39">
        <v>46217</v>
      </c>
      <c r="AD17" s="40" t="s">
        <v>4236</v>
      </c>
      <c r="AE17" s="41" t="s">
        <v>4523</v>
      </c>
      <c r="AF17" s="2" t="s">
        <v>1782</v>
      </c>
    </row>
    <row r="18" s="2" customFormat="1" ht="27.6" hidden="1" customHeight="1" spans="1:32">
      <c r="A18" s="34">
        <f t="shared" si="0"/>
        <v>15</v>
      </c>
      <c r="B18" s="35" t="s">
        <v>3162</v>
      </c>
      <c r="C18" s="35" t="s">
        <v>360</v>
      </c>
      <c r="D18" s="37" t="s">
        <v>4404</v>
      </c>
      <c r="E18" s="35" t="s">
        <v>4405</v>
      </c>
      <c r="F18" s="36">
        <v>46122</v>
      </c>
      <c r="G18" s="36">
        <v>46196</v>
      </c>
      <c r="H18" s="36">
        <v>46196</v>
      </c>
      <c r="I18" s="36">
        <v>46136</v>
      </c>
      <c r="J18" s="35">
        <f t="shared" si="2"/>
        <v>0</v>
      </c>
      <c r="K18" s="35">
        <v>10</v>
      </c>
      <c r="L18" s="37">
        <v>1000</v>
      </c>
      <c r="M18" s="37">
        <v>1000</v>
      </c>
      <c r="N18" s="37">
        <v>1000</v>
      </c>
      <c r="O18" s="37">
        <v>1000</v>
      </c>
      <c r="P18" s="37">
        <v>1000</v>
      </c>
      <c r="Q18" s="35" t="s">
        <v>1749</v>
      </c>
      <c r="R18" s="45" t="s">
        <v>104</v>
      </c>
      <c r="S18" s="38" t="s">
        <v>526</v>
      </c>
      <c r="T18" s="38" t="s">
        <v>526</v>
      </c>
      <c r="U18" s="38" t="s">
        <v>526</v>
      </c>
      <c r="V18" s="38" t="s">
        <v>1875</v>
      </c>
      <c r="W18" s="35" t="s">
        <v>526</v>
      </c>
      <c r="X18" s="35" t="s">
        <v>1749</v>
      </c>
      <c r="Y18" s="37" t="s">
        <v>4225</v>
      </c>
      <c r="Z18" s="39">
        <v>46196</v>
      </c>
      <c r="AA18" s="57">
        <v>46197</v>
      </c>
      <c r="AB18" s="39"/>
      <c r="AC18" s="39">
        <v>46207</v>
      </c>
      <c r="AD18" s="40" t="s">
        <v>4406</v>
      </c>
      <c r="AE18" s="41" t="s">
        <v>4530</v>
      </c>
      <c r="AF18" s="2" t="s">
        <v>1782</v>
      </c>
    </row>
    <row r="19" s="2" customFormat="1" ht="27.75" hidden="1" customHeight="1" spans="1:32">
      <c r="A19" s="34">
        <f t="shared" si="0"/>
        <v>16</v>
      </c>
      <c r="B19" s="35" t="s">
        <v>4237</v>
      </c>
      <c r="C19" s="35" t="s">
        <v>114</v>
      </c>
      <c r="D19" s="37" t="s">
        <v>4238</v>
      </c>
      <c r="E19" s="35" t="s">
        <v>4239</v>
      </c>
      <c r="F19" s="36">
        <v>46101</v>
      </c>
      <c r="G19" s="36">
        <v>46197</v>
      </c>
      <c r="H19" s="36">
        <v>46197</v>
      </c>
      <c r="I19" s="36">
        <v>46135</v>
      </c>
      <c r="J19" s="35">
        <f t="shared" si="2"/>
        <v>0</v>
      </c>
      <c r="K19" s="35">
        <v>10</v>
      </c>
      <c r="L19" s="37">
        <v>360</v>
      </c>
      <c r="M19" s="37">
        <v>360</v>
      </c>
      <c r="N19" s="37">
        <v>360</v>
      </c>
      <c r="O19" s="37">
        <v>360</v>
      </c>
      <c r="P19" s="37">
        <v>360</v>
      </c>
      <c r="Q19" s="35" t="s">
        <v>1749</v>
      </c>
      <c r="R19" s="45" t="s">
        <v>104</v>
      </c>
      <c r="S19" s="38" t="s">
        <v>526</v>
      </c>
      <c r="T19" s="38" t="s">
        <v>526</v>
      </c>
      <c r="U19" s="38" t="s">
        <v>526</v>
      </c>
      <c r="V19" s="38" t="s">
        <v>1875</v>
      </c>
      <c r="W19" s="35" t="s">
        <v>526</v>
      </c>
      <c r="X19" s="35" t="s">
        <v>1749</v>
      </c>
      <c r="Y19" s="37" t="s">
        <v>4240</v>
      </c>
      <c r="Z19" s="39">
        <v>46197</v>
      </c>
      <c r="AA19" s="57">
        <v>46197</v>
      </c>
      <c r="AB19" s="39"/>
      <c r="AC19" s="39">
        <v>46218</v>
      </c>
      <c r="AD19" s="40">
        <v>4504222790</v>
      </c>
      <c r="AE19" s="41" t="s">
        <v>4530</v>
      </c>
      <c r="AF19" s="2" t="s">
        <v>1782</v>
      </c>
    </row>
    <row r="20" s="2" customFormat="1" ht="27" hidden="1" customHeight="1" spans="1:32">
      <c r="A20" s="34">
        <f t="shared" si="0"/>
        <v>17</v>
      </c>
      <c r="B20" s="37" t="s">
        <v>359</v>
      </c>
      <c r="C20" s="37" t="s">
        <v>360</v>
      </c>
      <c r="D20" s="37" t="s">
        <v>4328</v>
      </c>
      <c r="E20" s="51" t="s">
        <v>4329</v>
      </c>
      <c r="F20" s="36">
        <v>46140</v>
      </c>
      <c r="G20" s="36">
        <v>46205</v>
      </c>
      <c r="H20" s="36">
        <v>46205</v>
      </c>
      <c r="I20" s="36">
        <v>46147</v>
      </c>
      <c r="J20" s="35">
        <f t="shared" si="2"/>
        <v>0</v>
      </c>
      <c r="K20" s="35">
        <v>10</v>
      </c>
      <c r="L20" s="37">
        <v>200</v>
      </c>
      <c r="M20" s="37">
        <v>200</v>
      </c>
      <c r="N20" s="37">
        <v>200</v>
      </c>
      <c r="O20" s="37">
        <v>200</v>
      </c>
      <c r="P20" s="37">
        <v>200</v>
      </c>
      <c r="Q20" s="35" t="s">
        <v>1749</v>
      </c>
      <c r="R20" s="45" t="s">
        <v>104</v>
      </c>
      <c r="S20" s="38" t="s">
        <v>526</v>
      </c>
      <c r="T20" s="38" t="s">
        <v>526</v>
      </c>
      <c r="U20" s="38" t="s">
        <v>526</v>
      </c>
      <c r="V20" s="38" t="s">
        <v>1875</v>
      </c>
      <c r="W20" s="35" t="s">
        <v>390</v>
      </c>
      <c r="X20" s="35" t="s">
        <v>1749</v>
      </c>
      <c r="Y20" s="37" t="s">
        <v>4250</v>
      </c>
      <c r="Z20" s="39">
        <v>46205</v>
      </c>
      <c r="AA20" s="57">
        <v>46217</v>
      </c>
      <c r="AB20" s="39"/>
      <c r="AC20" s="39">
        <v>46217</v>
      </c>
      <c r="AD20" s="40" t="s">
        <v>1771</v>
      </c>
      <c r="AE20" s="41" t="s">
        <v>4530</v>
      </c>
      <c r="AF20" s="2" t="s">
        <v>1802</v>
      </c>
    </row>
    <row r="21" s="2" customFormat="1" ht="27" hidden="1" customHeight="1" spans="1:32">
      <c r="A21" s="34">
        <f t="shared" si="0"/>
        <v>18</v>
      </c>
      <c r="B21" s="37" t="s">
        <v>4271</v>
      </c>
      <c r="C21" s="37" t="s">
        <v>114</v>
      </c>
      <c r="D21" s="37" t="s">
        <v>4272</v>
      </c>
      <c r="E21" s="37" t="s">
        <v>4273</v>
      </c>
      <c r="F21" s="56">
        <v>46132</v>
      </c>
      <c r="G21" s="56">
        <v>46205</v>
      </c>
      <c r="H21" s="56">
        <v>46205</v>
      </c>
      <c r="I21" s="56">
        <v>46185</v>
      </c>
      <c r="J21" s="37">
        <f t="shared" si="2"/>
        <v>0</v>
      </c>
      <c r="K21" s="35">
        <v>10</v>
      </c>
      <c r="L21" s="37">
        <v>200</v>
      </c>
      <c r="M21" s="37">
        <v>200</v>
      </c>
      <c r="N21" s="37">
        <v>200</v>
      </c>
      <c r="O21" s="37">
        <v>200</v>
      </c>
      <c r="P21" s="37">
        <v>200</v>
      </c>
      <c r="Q21" s="35" t="s">
        <v>1749</v>
      </c>
      <c r="R21" s="45" t="s">
        <v>104</v>
      </c>
      <c r="S21" s="38" t="s">
        <v>526</v>
      </c>
      <c r="T21" s="38" t="s">
        <v>526</v>
      </c>
      <c r="U21" s="38" t="s">
        <v>526</v>
      </c>
      <c r="V21" s="38" t="s">
        <v>1875</v>
      </c>
      <c r="W21" s="35" t="s">
        <v>933</v>
      </c>
      <c r="X21" s="35" t="s">
        <v>1749</v>
      </c>
      <c r="Y21" s="35" t="s">
        <v>4250</v>
      </c>
      <c r="Z21" s="39">
        <v>46213</v>
      </c>
      <c r="AA21" s="44">
        <v>46226</v>
      </c>
      <c r="AB21" s="39"/>
      <c r="AC21" s="39">
        <v>46235</v>
      </c>
      <c r="AD21" s="40" t="s">
        <v>4274</v>
      </c>
      <c r="AE21" s="41" t="s">
        <v>4530</v>
      </c>
      <c r="AF21" s="2" t="s">
        <v>1802</v>
      </c>
    </row>
    <row r="22" s="2" customFormat="1" ht="39" hidden="1" customHeight="1" spans="1:32">
      <c r="A22" s="34">
        <v>17</v>
      </c>
      <c r="B22" s="37" t="s">
        <v>4536</v>
      </c>
      <c r="C22" s="37" t="s">
        <v>135</v>
      </c>
      <c r="D22" s="37" t="s">
        <v>4537</v>
      </c>
      <c r="E22" s="51" t="s">
        <v>4538</v>
      </c>
      <c r="F22" s="36">
        <v>46136</v>
      </c>
      <c r="G22" s="36">
        <v>46213</v>
      </c>
      <c r="H22" s="36">
        <v>46213</v>
      </c>
      <c r="I22" s="36">
        <v>46183</v>
      </c>
      <c r="J22" s="35">
        <f t="shared" si="2"/>
        <v>0</v>
      </c>
      <c r="K22" s="35">
        <v>10</v>
      </c>
      <c r="L22" s="37">
        <v>500</v>
      </c>
      <c r="M22" s="37">
        <v>500</v>
      </c>
      <c r="N22" s="37">
        <v>500</v>
      </c>
      <c r="O22" s="37">
        <v>500</v>
      </c>
      <c r="P22" s="37">
        <v>500</v>
      </c>
      <c r="Q22" s="35" t="s">
        <v>554</v>
      </c>
      <c r="R22" s="45" t="s">
        <v>104</v>
      </c>
      <c r="S22" s="38" t="s">
        <v>1750</v>
      </c>
      <c r="T22" s="38" t="s">
        <v>1750</v>
      </c>
      <c r="U22" s="38" t="s">
        <v>1750</v>
      </c>
      <c r="V22" s="38" t="s">
        <v>4128</v>
      </c>
      <c r="W22" s="35" t="s">
        <v>933</v>
      </c>
      <c r="X22" s="35" t="s">
        <v>554</v>
      </c>
      <c r="Y22" s="37" t="s">
        <v>4539</v>
      </c>
      <c r="Z22" s="39">
        <v>46213</v>
      </c>
      <c r="AA22" s="44">
        <v>46226</v>
      </c>
      <c r="AB22" s="39"/>
      <c r="AC22" s="39">
        <v>46244</v>
      </c>
      <c r="AD22" s="40"/>
      <c r="AE22" s="41" t="s">
        <v>4530</v>
      </c>
      <c r="AF22" s="2" t="s">
        <v>1794</v>
      </c>
    </row>
    <row r="23" s="2" customFormat="1" ht="36" hidden="1" customHeight="1" spans="1:32">
      <c r="A23" s="34">
        <f t="shared" ref="A23:A39" si="3">ROW()-3</f>
        <v>20</v>
      </c>
      <c r="B23" s="37" t="s">
        <v>4255</v>
      </c>
      <c r="C23" s="37" t="s">
        <v>486</v>
      </c>
      <c r="D23" s="37" t="s">
        <v>4256</v>
      </c>
      <c r="E23" s="35" t="s">
        <v>4257</v>
      </c>
      <c r="F23" s="36">
        <v>46140</v>
      </c>
      <c r="G23" s="36">
        <v>46219</v>
      </c>
      <c r="H23" s="36">
        <v>46219</v>
      </c>
      <c r="I23" s="36">
        <v>46153</v>
      </c>
      <c r="J23" s="35">
        <f>SUM(L23:P23)</f>
        <v>3000</v>
      </c>
      <c r="K23" s="35">
        <v>10</v>
      </c>
      <c r="L23" s="37">
        <v>600</v>
      </c>
      <c r="M23" s="37">
        <v>600</v>
      </c>
      <c r="N23" s="37">
        <v>600</v>
      </c>
      <c r="O23" s="37">
        <v>600</v>
      </c>
      <c r="P23" s="37">
        <v>600</v>
      </c>
      <c r="Q23" s="35" t="s">
        <v>554</v>
      </c>
      <c r="R23" s="45" t="s">
        <v>104</v>
      </c>
      <c r="S23" s="38" t="s">
        <v>1750</v>
      </c>
      <c r="T23" s="38" t="s">
        <v>1750</v>
      </c>
      <c r="U23" s="38" t="s">
        <v>1750</v>
      </c>
      <c r="V23" s="38" t="s">
        <v>4128</v>
      </c>
      <c r="W23" s="35" t="s">
        <v>933</v>
      </c>
      <c r="X23" s="35" t="s">
        <v>554</v>
      </c>
      <c r="Y23" s="37" t="s">
        <v>4250</v>
      </c>
      <c r="Z23" s="39">
        <v>46219</v>
      </c>
      <c r="AA23" s="39">
        <v>46224</v>
      </c>
      <c r="AB23" s="39"/>
      <c r="AC23" s="39">
        <v>46233</v>
      </c>
      <c r="AD23" s="40" t="s">
        <v>4258</v>
      </c>
      <c r="AE23" s="2" t="s">
        <v>4530</v>
      </c>
      <c r="AF23" s="2" t="s">
        <v>1802</v>
      </c>
    </row>
    <row r="24" s="2" customFormat="1" ht="27" hidden="1" customHeight="1" spans="1:32">
      <c r="A24" s="34">
        <f t="shared" si="3"/>
        <v>21</v>
      </c>
      <c r="B24" s="37" t="s">
        <v>420</v>
      </c>
      <c r="C24" s="37" t="s">
        <v>421</v>
      </c>
      <c r="D24" s="37" t="s">
        <v>4292</v>
      </c>
      <c r="E24" s="35" t="s">
        <v>4293</v>
      </c>
      <c r="F24" s="36">
        <v>46148</v>
      </c>
      <c r="G24" s="36">
        <v>46243</v>
      </c>
      <c r="H24" s="36">
        <v>46243</v>
      </c>
      <c r="I24" s="36">
        <v>46212</v>
      </c>
      <c r="J24" s="35">
        <f>SUM(L24:P24)</f>
        <v>10000</v>
      </c>
      <c r="K24" s="35">
        <v>10</v>
      </c>
      <c r="L24" s="37">
        <v>2000</v>
      </c>
      <c r="M24" s="37">
        <v>2000</v>
      </c>
      <c r="N24" s="37">
        <v>2000</v>
      </c>
      <c r="O24" s="37">
        <v>2000</v>
      </c>
      <c r="P24" s="37">
        <v>2000</v>
      </c>
      <c r="Q24" s="35" t="s">
        <v>1600</v>
      </c>
      <c r="R24" s="45" t="s">
        <v>196</v>
      </c>
      <c r="S24" s="38" t="s">
        <v>4138</v>
      </c>
      <c r="T24" s="38" t="s">
        <v>4138</v>
      </c>
      <c r="U24" s="38" t="s">
        <v>4138</v>
      </c>
      <c r="V24" s="38" t="s">
        <v>1207</v>
      </c>
      <c r="W24" s="35" t="s">
        <v>1227</v>
      </c>
      <c r="X24" s="35" t="s">
        <v>1600</v>
      </c>
      <c r="Y24" s="37" t="s">
        <v>4221</v>
      </c>
      <c r="Z24" s="39">
        <v>46243</v>
      </c>
      <c r="AA24" s="39">
        <v>46246</v>
      </c>
      <c r="AB24" s="39"/>
      <c r="AC24" s="39">
        <v>46275</v>
      </c>
      <c r="AD24" s="40" t="s">
        <v>4294</v>
      </c>
      <c r="AE24" s="2" t="s">
        <v>4523</v>
      </c>
      <c r="AF24" s="2" t="s">
        <v>1794</v>
      </c>
    </row>
    <row r="25" s="2" customFormat="1" ht="27" hidden="1" customHeight="1" spans="1:32">
      <c r="A25" s="34">
        <f t="shared" si="3"/>
        <v>22</v>
      </c>
      <c r="B25" s="35" t="s">
        <v>420</v>
      </c>
      <c r="C25" s="35" t="s">
        <v>421</v>
      </c>
      <c r="D25" s="35" t="s">
        <v>4415</v>
      </c>
      <c r="E25" s="35" t="s">
        <v>4416</v>
      </c>
      <c r="F25" s="36">
        <v>46148</v>
      </c>
      <c r="G25" s="36">
        <v>46253</v>
      </c>
      <c r="H25" s="36">
        <v>46253</v>
      </c>
      <c r="I25" s="36">
        <v>46212</v>
      </c>
      <c r="J25" s="35">
        <f t="shared" ref="J25:J36" si="4">SUBTOTAL(9,L25:P25)</f>
        <v>0</v>
      </c>
      <c r="K25" s="35">
        <v>10</v>
      </c>
      <c r="L25" s="37">
        <v>2000</v>
      </c>
      <c r="M25" s="37">
        <v>2000</v>
      </c>
      <c r="N25" s="37">
        <v>2000</v>
      </c>
      <c r="O25" s="37">
        <v>2000</v>
      </c>
      <c r="P25" s="37">
        <v>2000</v>
      </c>
      <c r="Q25" s="35" t="s">
        <v>1600</v>
      </c>
      <c r="R25" s="45" t="s">
        <v>196</v>
      </c>
      <c r="S25" s="38" t="s">
        <v>4138</v>
      </c>
      <c r="T25" s="38" t="s">
        <v>4138</v>
      </c>
      <c r="U25" s="38" t="s">
        <v>4138</v>
      </c>
      <c r="V25" s="38" t="s">
        <v>1207</v>
      </c>
      <c r="W25" s="35" t="s">
        <v>607</v>
      </c>
      <c r="X25" s="35" t="s">
        <v>1600</v>
      </c>
      <c r="Y25" s="37" t="s">
        <v>4221</v>
      </c>
      <c r="Z25" s="39">
        <v>46253</v>
      </c>
      <c r="AA25" s="39">
        <v>46255</v>
      </c>
      <c r="AB25" s="39"/>
      <c r="AC25" s="39">
        <v>46275</v>
      </c>
      <c r="AD25" s="40" t="s">
        <v>4417</v>
      </c>
      <c r="AE25" s="2" t="s">
        <v>4523</v>
      </c>
      <c r="AF25" s="2" t="s">
        <v>4170</v>
      </c>
    </row>
    <row r="26" s="2" customFormat="1" ht="27" hidden="1" customHeight="1" spans="1:32">
      <c r="A26" s="122">
        <f t="shared" si="3"/>
        <v>23</v>
      </c>
      <c r="B26" s="123" t="s">
        <v>4339</v>
      </c>
      <c r="C26" s="123" t="s">
        <v>645</v>
      </c>
      <c r="D26" s="123" t="s">
        <v>4340</v>
      </c>
      <c r="E26" s="123"/>
      <c r="F26" s="124">
        <v>46157</v>
      </c>
      <c r="G26" s="124">
        <v>46248</v>
      </c>
      <c r="H26" s="124">
        <v>46248</v>
      </c>
      <c r="I26" s="124"/>
      <c r="J26" s="123">
        <v>0</v>
      </c>
      <c r="K26" s="123">
        <v>10</v>
      </c>
      <c r="L26" s="125">
        <v>0</v>
      </c>
      <c r="M26" s="125">
        <v>0</v>
      </c>
      <c r="N26" s="125">
        <v>0</v>
      </c>
      <c r="O26" s="125">
        <v>0</v>
      </c>
      <c r="P26" s="125">
        <v>0</v>
      </c>
      <c r="Q26" s="123" t="s">
        <v>1600</v>
      </c>
      <c r="R26" s="126" t="s">
        <v>104</v>
      </c>
      <c r="S26" s="127" t="s">
        <v>4138</v>
      </c>
      <c r="T26" s="127" t="s">
        <v>4138</v>
      </c>
      <c r="U26" s="127" t="s">
        <v>4138</v>
      </c>
      <c r="V26" s="127" t="s">
        <v>1207</v>
      </c>
      <c r="W26" s="123"/>
      <c r="X26" s="123" t="s">
        <v>1600</v>
      </c>
      <c r="Y26" s="144" t="s">
        <v>4341</v>
      </c>
      <c r="Z26" s="130">
        <v>46248</v>
      </c>
      <c r="AA26" s="130"/>
      <c r="AB26" s="130"/>
      <c r="AC26" s="130" t="s">
        <v>640</v>
      </c>
      <c r="AD26" s="131"/>
      <c r="AE26" s="2" t="s">
        <v>4540</v>
      </c>
      <c r="AF26" s="2" t="s">
        <v>4170</v>
      </c>
    </row>
    <row r="27" s="2" customFormat="1" ht="27" customHeight="1" spans="1:32">
      <c r="A27" s="34">
        <f t="shared" si="3"/>
        <v>24</v>
      </c>
      <c r="B27" s="35" t="s">
        <v>420</v>
      </c>
      <c r="C27" s="35" t="s">
        <v>421</v>
      </c>
      <c r="D27" s="35" t="s">
        <v>4380</v>
      </c>
      <c r="E27" s="35" t="s">
        <v>4381</v>
      </c>
      <c r="F27" s="36">
        <v>46148</v>
      </c>
      <c r="G27" s="36">
        <v>46269</v>
      </c>
      <c r="H27" s="36">
        <v>46269</v>
      </c>
      <c r="I27" s="36">
        <v>46237</v>
      </c>
      <c r="J27" s="35">
        <f t="shared" si="4"/>
        <v>32500</v>
      </c>
      <c r="K27" s="35">
        <v>10</v>
      </c>
      <c r="L27" s="37">
        <v>6500</v>
      </c>
      <c r="M27" s="37">
        <v>6500</v>
      </c>
      <c r="N27" s="37">
        <v>6500</v>
      </c>
      <c r="O27" s="37">
        <v>6500</v>
      </c>
      <c r="P27" s="37">
        <v>6500</v>
      </c>
      <c r="Q27" s="35" t="s">
        <v>1444</v>
      </c>
      <c r="R27" s="45" t="s">
        <v>196</v>
      </c>
      <c r="S27" s="38" t="s">
        <v>4176</v>
      </c>
      <c r="T27" s="38" t="s">
        <v>4176</v>
      </c>
      <c r="U27" s="38" t="s">
        <v>4176</v>
      </c>
      <c r="V27" s="38" t="s">
        <v>1660</v>
      </c>
      <c r="W27" s="38" t="s">
        <v>1660</v>
      </c>
      <c r="X27" s="35" t="s">
        <v>1444</v>
      </c>
      <c r="Y27" s="37" t="s">
        <v>4221</v>
      </c>
      <c r="Z27" s="39">
        <v>46269</v>
      </c>
      <c r="AA27" s="39">
        <v>46268</v>
      </c>
      <c r="AB27" s="39"/>
      <c r="AC27" s="39"/>
      <c r="AD27" s="40" t="s">
        <v>4382</v>
      </c>
      <c r="AE27" s="2" t="s">
        <v>4523</v>
      </c>
      <c r="AF27" s="2" t="s">
        <v>4170</v>
      </c>
    </row>
    <row r="28" s="2" customFormat="1" ht="39" customHeight="1" spans="1:32">
      <c r="A28" s="59">
        <f t="shared" si="3"/>
        <v>25</v>
      </c>
      <c r="B28" s="60" t="s">
        <v>4541</v>
      </c>
      <c r="C28" s="60" t="s">
        <v>114</v>
      </c>
      <c r="D28" s="60" t="s">
        <v>4542</v>
      </c>
      <c r="E28" s="60" t="s">
        <v>4543</v>
      </c>
      <c r="F28" s="61">
        <v>46155</v>
      </c>
      <c r="G28" s="61">
        <v>46275</v>
      </c>
      <c r="H28" s="61">
        <v>46275</v>
      </c>
      <c r="I28" s="61">
        <v>46210</v>
      </c>
      <c r="J28" s="60">
        <f t="shared" si="4"/>
        <v>1880</v>
      </c>
      <c r="K28" s="60">
        <v>10</v>
      </c>
      <c r="L28" s="83">
        <v>376</v>
      </c>
      <c r="M28" s="83">
        <v>376</v>
      </c>
      <c r="N28" s="83">
        <v>376</v>
      </c>
      <c r="O28" s="83">
        <v>376</v>
      </c>
      <c r="P28" s="83">
        <v>376</v>
      </c>
      <c r="Q28" s="63" t="s">
        <v>1600</v>
      </c>
      <c r="R28" s="64" t="s">
        <v>104</v>
      </c>
      <c r="S28" s="65" t="s">
        <v>82</v>
      </c>
      <c r="T28" s="65" t="s">
        <v>82</v>
      </c>
      <c r="U28" s="65" t="s">
        <v>82</v>
      </c>
      <c r="V28" s="65" t="s">
        <v>82</v>
      </c>
      <c r="W28" s="65" t="s">
        <v>1660</v>
      </c>
      <c r="X28" s="60" t="s">
        <v>1600</v>
      </c>
      <c r="Y28" s="66" t="s">
        <v>4544</v>
      </c>
      <c r="Z28" s="67">
        <v>46275</v>
      </c>
      <c r="AA28" s="155">
        <v>46280</v>
      </c>
      <c r="AB28" s="68" t="s">
        <v>4545</v>
      </c>
      <c r="AC28" s="68"/>
      <c r="AD28" s="70" t="s">
        <v>4546</v>
      </c>
      <c r="AE28" s="2" t="s">
        <v>4530</v>
      </c>
      <c r="AF28" s="2" t="s">
        <v>4170</v>
      </c>
    </row>
    <row r="29" s="2" customFormat="1" ht="27" customHeight="1" spans="1:32">
      <c r="A29" s="59">
        <f t="shared" si="3"/>
        <v>26</v>
      </c>
      <c r="B29" s="60" t="s">
        <v>420</v>
      </c>
      <c r="C29" s="60" t="s">
        <v>421</v>
      </c>
      <c r="D29" s="60" t="s">
        <v>4383</v>
      </c>
      <c r="E29" s="60" t="s">
        <v>4384</v>
      </c>
      <c r="F29" s="61">
        <v>46148</v>
      </c>
      <c r="G29" s="61">
        <v>46283</v>
      </c>
      <c r="H29" s="61">
        <v>46283</v>
      </c>
      <c r="I29" s="61">
        <v>46237</v>
      </c>
      <c r="J29" s="60">
        <f t="shared" si="4"/>
        <v>22500</v>
      </c>
      <c r="K29" s="60">
        <v>10</v>
      </c>
      <c r="L29" s="83">
        <v>4500</v>
      </c>
      <c r="M29" s="83">
        <v>4500</v>
      </c>
      <c r="N29" s="83">
        <v>4500</v>
      </c>
      <c r="O29" s="83">
        <v>4500</v>
      </c>
      <c r="P29" s="83">
        <v>4500</v>
      </c>
      <c r="Q29" s="63" t="s">
        <v>1444</v>
      </c>
      <c r="R29" s="64" t="s">
        <v>196</v>
      </c>
      <c r="S29" s="65" t="s">
        <v>4176</v>
      </c>
      <c r="T29" s="65" t="s">
        <v>4176</v>
      </c>
      <c r="U29" s="65" t="s">
        <v>4176</v>
      </c>
      <c r="V29" s="65" t="s">
        <v>1660</v>
      </c>
      <c r="W29" s="65" t="s">
        <v>1660</v>
      </c>
      <c r="X29" s="60" t="s">
        <v>1444</v>
      </c>
      <c r="Y29" s="66" t="s">
        <v>4221</v>
      </c>
      <c r="Z29" s="67">
        <v>46283</v>
      </c>
      <c r="AA29" s="68"/>
      <c r="AB29" s="68"/>
      <c r="AC29" s="68"/>
      <c r="AD29" s="70" t="s">
        <v>4385</v>
      </c>
      <c r="AE29" s="2" t="s">
        <v>4523</v>
      </c>
      <c r="AF29" s="2" t="s">
        <v>4195</v>
      </c>
    </row>
    <row r="30" s="2" customFormat="1" ht="27" customHeight="1" spans="1:32">
      <c r="A30" s="59">
        <f t="shared" si="3"/>
        <v>27</v>
      </c>
      <c r="B30" s="60" t="s">
        <v>420</v>
      </c>
      <c r="C30" s="60" t="s">
        <v>421</v>
      </c>
      <c r="D30" s="60" t="s">
        <v>4547</v>
      </c>
      <c r="E30" s="60" t="s">
        <v>4387</v>
      </c>
      <c r="F30" s="61">
        <v>46148</v>
      </c>
      <c r="G30" s="61">
        <v>46289</v>
      </c>
      <c r="H30" s="61">
        <v>46289</v>
      </c>
      <c r="I30" s="61">
        <v>46237</v>
      </c>
      <c r="J30" s="60">
        <f t="shared" si="4"/>
        <v>5000</v>
      </c>
      <c r="K30" s="60">
        <v>10</v>
      </c>
      <c r="L30" s="83">
        <v>1000</v>
      </c>
      <c r="M30" s="83">
        <v>1000</v>
      </c>
      <c r="N30" s="83">
        <v>1000</v>
      </c>
      <c r="O30" s="83">
        <v>1000</v>
      </c>
      <c r="P30" s="83">
        <v>1000</v>
      </c>
      <c r="Q30" s="63" t="s">
        <v>1444</v>
      </c>
      <c r="R30" s="64" t="s">
        <v>196</v>
      </c>
      <c r="S30" s="65" t="s">
        <v>4176</v>
      </c>
      <c r="T30" s="65" t="s">
        <v>4176</v>
      </c>
      <c r="U30" s="65" t="s">
        <v>4176</v>
      </c>
      <c r="V30" s="65" t="s">
        <v>1660</v>
      </c>
      <c r="W30" s="65" t="s">
        <v>1660</v>
      </c>
      <c r="X30" s="60" t="s">
        <v>1444</v>
      </c>
      <c r="Y30" s="66" t="s">
        <v>4221</v>
      </c>
      <c r="Z30" s="67">
        <v>46289</v>
      </c>
      <c r="AA30" s="68"/>
      <c r="AB30" s="68"/>
      <c r="AC30" s="68"/>
      <c r="AD30" s="70" t="s">
        <v>4388</v>
      </c>
      <c r="AE30" s="2" t="s">
        <v>4523</v>
      </c>
      <c r="AF30" s="2" t="s">
        <v>4195</v>
      </c>
    </row>
    <row r="31" s="2" customFormat="1" ht="27.6" customHeight="1" spans="1:32">
      <c r="A31" s="59">
        <f t="shared" si="3"/>
        <v>28</v>
      </c>
      <c r="B31" s="86" t="s">
        <v>3461</v>
      </c>
      <c r="C31" s="86" t="s">
        <v>486</v>
      </c>
      <c r="D31" s="84" t="s">
        <v>4548</v>
      </c>
      <c r="E31" s="60" t="s">
        <v>4549</v>
      </c>
      <c r="F31" s="85">
        <v>46258</v>
      </c>
      <c r="G31" s="85">
        <v>46332</v>
      </c>
      <c r="H31" s="85">
        <v>46332</v>
      </c>
      <c r="I31" s="85">
        <v>46276</v>
      </c>
      <c r="J31" s="84">
        <f t="shared" si="4"/>
        <v>7500</v>
      </c>
      <c r="K31" s="84">
        <v>10</v>
      </c>
      <c r="L31" s="62">
        <v>1500</v>
      </c>
      <c r="M31" s="62">
        <v>1500</v>
      </c>
      <c r="N31" s="62">
        <v>1500</v>
      </c>
      <c r="O31" s="62">
        <v>1500</v>
      </c>
      <c r="P31" s="62">
        <v>1500</v>
      </c>
      <c r="Q31" s="63" t="s">
        <v>3869</v>
      </c>
      <c r="R31" s="64" t="s">
        <v>104</v>
      </c>
      <c r="S31" s="60" t="s">
        <v>2488</v>
      </c>
      <c r="T31" s="60" t="s">
        <v>2488</v>
      </c>
      <c r="U31" s="60" t="s">
        <v>2488</v>
      </c>
      <c r="V31" s="60" t="s">
        <v>2488</v>
      </c>
      <c r="W31" s="60"/>
      <c r="X31" s="60" t="s">
        <v>3869</v>
      </c>
      <c r="Y31" s="66" t="s">
        <v>4250</v>
      </c>
      <c r="Z31" s="67">
        <v>46332</v>
      </c>
      <c r="AA31" s="68"/>
      <c r="AB31" s="68"/>
      <c r="AC31" s="68"/>
      <c r="AD31" s="70" t="s">
        <v>4550</v>
      </c>
      <c r="AE31" s="2" t="s">
        <v>4530</v>
      </c>
      <c r="AF31" s="2" t="s">
        <v>4499</v>
      </c>
    </row>
    <row r="32" s="2" customFormat="1" ht="33" customHeight="1" spans="1:32">
      <c r="A32" s="59">
        <f t="shared" si="3"/>
        <v>29</v>
      </c>
      <c r="B32" s="87" t="s">
        <v>3162</v>
      </c>
      <c r="C32" s="87" t="s">
        <v>360</v>
      </c>
      <c r="D32" s="88"/>
      <c r="E32" s="88"/>
      <c r="F32" s="89">
        <v>46261</v>
      </c>
      <c r="G32" s="89">
        <v>46331</v>
      </c>
      <c r="H32" s="89">
        <v>46331</v>
      </c>
      <c r="I32" s="89"/>
      <c r="J32" s="88">
        <f t="shared" si="4"/>
        <v>2500</v>
      </c>
      <c r="K32" s="88">
        <v>10</v>
      </c>
      <c r="L32" s="62">
        <v>500</v>
      </c>
      <c r="M32" s="62">
        <v>500</v>
      </c>
      <c r="N32" s="62">
        <v>500</v>
      </c>
      <c r="O32" s="62">
        <v>500</v>
      </c>
      <c r="P32" s="62">
        <v>500</v>
      </c>
      <c r="Q32" s="79" t="s">
        <v>1600</v>
      </c>
      <c r="R32" s="64" t="s">
        <v>104</v>
      </c>
      <c r="S32" s="60" t="s">
        <v>4551</v>
      </c>
      <c r="T32" s="60" t="s">
        <v>4551</v>
      </c>
      <c r="U32" s="60" t="s">
        <v>4551</v>
      </c>
      <c r="V32" s="60" t="s">
        <v>2488</v>
      </c>
      <c r="W32" s="60"/>
      <c r="X32" s="80" t="s">
        <v>1600</v>
      </c>
      <c r="Y32" s="66" t="s">
        <v>4250</v>
      </c>
      <c r="Z32" s="67">
        <v>46331</v>
      </c>
      <c r="AA32" s="68"/>
      <c r="AB32" s="68"/>
      <c r="AC32" s="69"/>
      <c r="AD32" s="70" t="s">
        <v>3165</v>
      </c>
      <c r="AE32" s="2" t="s">
        <v>4530</v>
      </c>
      <c r="AF32" s="2" t="s">
        <v>4508</v>
      </c>
    </row>
    <row r="33" s="2" customFormat="1" ht="27.75" customHeight="1" spans="1:31">
      <c r="A33" s="59">
        <f t="shared" si="3"/>
        <v>30</v>
      </c>
      <c r="B33" s="90" t="s">
        <v>725</v>
      </c>
      <c r="C33" s="90" t="s">
        <v>726</v>
      </c>
      <c r="D33" s="91" t="s">
        <v>4512</v>
      </c>
      <c r="E33" s="91"/>
      <c r="F33" s="92">
        <v>46274</v>
      </c>
      <c r="G33" s="92"/>
      <c r="H33" s="92"/>
      <c r="I33" s="92"/>
      <c r="J33" s="91">
        <f t="shared" si="4"/>
        <v>28130</v>
      </c>
      <c r="K33" s="91">
        <v>10</v>
      </c>
      <c r="L33" s="62">
        <v>5626</v>
      </c>
      <c r="M33" s="62">
        <v>5626</v>
      </c>
      <c r="N33" s="62">
        <v>5626</v>
      </c>
      <c r="O33" s="62">
        <v>5626</v>
      </c>
      <c r="P33" s="62">
        <v>5626</v>
      </c>
      <c r="Q33" s="79"/>
      <c r="R33" s="64" t="s">
        <v>104</v>
      </c>
      <c r="S33" s="60"/>
      <c r="T33" s="60"/>
      <c r="U33" s="60"/>
      <c r="V33" s="60"/>
      <c r="W33" s="60"/>
      <c r="X33" s="80"/>
      <c r="Y33" s="66" t="s">
        <v>4552</v>
      </c>
      <c r="Z33" s="67"/>
      <c r="AA33" s="68"/>
      <c r="AB33" s="68"/>
      <c r="AC33" s="69"/>
      <c r="AD33" s="70"/>
      <c r="AE33" s="2" t="s">
        <v>4530</v>
      </c>
    </row>
    <row r="34" s="2" customFormat="1" ht="27.75" customHeight="1" spans="1:31">
      <c r="A34" s="59">
        <f t="shared" si="3"/>
        <v>31</v>
      </c>
      <c r="B34" s="91" t="s">
        <v>420</v>
      </c>
      <c r="C34" s="91" t="s">
        <v>421</v>
      </c>
      <c r="D34" s="91" t="s">
        <v>4389</v>
      </c>
      <c r="E34" s="91"/>
      <c r="F34" s="92">
        <v>46276</v>
      </c>
      <c r="G34" s="92"/>
      <c r="H34" s="92"/>
      <c r="I34" s="92"/>
      <c r="J34" s="91">
        <f t="shared" si="4"/>
        <v>5000</v>
      </c>
      <c r="K34" s="91">
        <v>10</v>
      </c>
      <c r="L34" s="62">
        <v>1000</v>
      </c>
      <c r="M34" s="62">
        <v>1000</v>
      </c>
      <c r="N34" s="62">
        <v>1000</v>
      </c>
      <c r="O34" s="62">
        <v>1000</v>
      </c>
      <c r="P34" s="62">
        <v>1000</v>
      </c>
      <c r="Q34" s="79"/>
      <c r="R34" s="64" t="s">
        <v>196</v>
      </c>
      <c r="S34" s="60"/>
      <c r="T34" s="60"/>
      <c r="U34" s="60"/>
      <c r="V34" s="60"/>
      <c r="W34" s="60"/>
      <c r="X34" s="80"/>
      <c r="Y34" s="66" t="s">
        <v>4221</v>
      </c>
      <c r="Z34" s="67"/>
      <c r="AA34" s="68"/>
      <c r="AB34" s="68"/>
      <c r="AC34" s="69"/>
      <c r="AD34" s="70" t="s">
        <v>4390</v>
      </c>
      <c r="AE34" s="2" t="s">
        <v>4523</v>
      </c>
    </row>
    <row r="35" s="2" customFormat="1" ht="27.75" customHeight="1" spans="1:31">
      <c r="A35" s="59">
        <f t="shared" si="3"/>
        <v>32</v>
      </c>
      <c r="B35" s="91" t="s">
        <v>420</v>
      </c>
      <c r="C35" s="91" t="s">
        <v>421</v>
      </c>
      <c r="D35" s="91" t="s">
        <v>4391</v>
      </c>
      <c r="E35" s="91"/>
      <c r="F35" s="92">
        <v>46276</v>
      </c>
      <c r="G35" s="92"/>
      <c r="H35" s="92"/>
      <c r="I35" s="92"/>
      <c r="J35" s="91">
        <f t="shared" si="4"/>
        <v>15500</v>
      </c>
      <c r="K35" s="91">
        <v>10</v>
      </c>
      <c r="L35" s="62">
        <v>3100</v>
      </c>
      <c r="M35" s="62">
        <v>3100</v>
      </c>
      <c r="N35" s="62">
        <v>3100</v>
      </c>
      <c r="O35" s="62">
        <v>3100</v>
      </c>
      <c r="P35" s="62">
        <v>3100</v>
      </c>
      <c r="Q35" s="79"/>
      <c r="R35" s="64" t="s">
        <v>196</v>
      </c>
      <c r="S35" s="60"/>
      <c r="T35" s="60"/>
      <c r="U35" s="60"/>
      <c r="V35" s="60"/>
      <c r="W35" s="60"/>
      <c r="X35" s="80"/>
      <c r="Y35" s="66" t="s">
        <v>4221</v>
      </c>
      <c r="Z35" s="67"/>
      <c r="AA35" s="68"/>
      <c r="AB35" s="68"/>
      <c r="AC35" s="69"/>
      <c r="AD35" s="70" t="s">
        <v>4392</v>
      </c>
      <c r="AE35" s="2" t="s">
        <v>4523</v>
      </c>
    </row>
    <row r="36" s="2" customFormat="1" ht="27.75" customHeight="1" spans="1:31">
      <c r="A36" s="59">
        <f t="shared" si="3"/>
        <v>33</v>
      </c>
      <c r="B36" s="91" t="s">
        <v>4553</v>
      </c>
      <c r="C36" s="90" t="s">
        <v>726</v>
      </c>
      <c r="D36" s="91" t="s">
        <v>1504</v>
      </c>
      <c r="E36" s="91"/>
      <c r="F36" s="92">
        <v>46276</v>
      </c>
      <c r="G36" s="92"/>
      <c r="H36" s="92"/>
      <c r="I36" s="92"/>
      <c r="J36" s="91">
        <f t="shared" si="4"/>
        <v>11400</v>
      </c>
      <c r="K36" s="91">
        <v>10</v>
      </c>
      <c r="L36" s="62">
        <v>2280</v>
      </c>
      <c r="M36" s="62">
        <v>2280</v>
      </c>
      <c r="N36" s="62">
        <v>2280</v>
      </c>
      <c r="O36" s="62">
        <v>2280</v>
      </c>
      <c r="P36" s="62">
        <v>2280</v>
      </c>
      <c r="Q36" s="79"/>
      <c r="R36" s="64" t="s">
        <v>104</v>
      </c>
      <c r="S36" s="60"/>
      <c r="T36" s="60"/>
      <c r="U36" s="60"/>
      <c r="V36" s="60"/>
      <c r="W36" s="60"/>
      <c r="X36" s="80"/>
      <c r="Y36" s="66" t="s">
        <v>4552</v>
      </c>
      <c r="Z36" s="67"/>
      <c r="AA36" s="68"/>
      <c r="AB36" s="68"/>
      <c r="AC36" s="69"/>
      <c r="AD36" s="70">
        <v>4400600700</v>
      </c>
      <c r="AE36" s="2" t="s">
        <v>4530</v>
      </c>
    </row>
    <row r="37" s="2" customFormat="1" ht="27.75" customHeight="1" spans="1:31">
      <c r="A37" s="59">
        <f t="shared" si="3"/>
        <v>34</v>
      </c>
      <c r="B37" s="86"/>
      <c r="C37" s="86"/>
      <c r="D37" s="84"/>
      <c r="E37" s="84"/>
      <c r="F37" s="85"/>
      <c r="G37" s="85"/>
      <c r="H37" s="85"/>
      <c r="I37" s="85"/>
      <c r="J37" s="84"/>
      <c r="K37" s="84"/>
      <c r="L37" s="62"/>
      <c r="M37" s="62"/>
      <c r="N37" s="62"/>
      <c r="O37" s="62"/>
      <c r="P37" s="62"/>
      <c r="Q37" s="79"/>
      <c r="R37" s="64"/>
      <c r="S37" s="60"/>
      <c r="T37" s="60"/>
      <c r="U37" s="60"/>
      <c r="V37" s="60"/>
      <c r="W37" s="60"/>
      <c r="X37" s="80"/>
      <c r="Y37" s="66"/>
      <c r="Z37" s="67"/>
      <c r="AA37" s="68"/>
      <c r="AB37" s="68"/>
      <c r="AC37" s="69"/>
      <c r="AD37" s="70"/>
    </row>
    <row r="38" s="2" customFormat="1" ht="27.75" customHeight="1" spans="1:31">
      <c r="A38" s="59">
        <f t="shared" si="3"/>
        <v>35</v>
      </c>
      <c r="B38" s="86"/>
      <c r="C38" s="86"/>
      <c r="D38" s="84"/>
      <c r="E38" s="84"/>
      <c r="F38" s="85"/>
      <c r="G38" s="85"/>
      <c r="H38" s="85"/>
      <c r="I38" s="85"/>
      <c r="J38" s="84"/>
      <c r="K38" s="84"/>
      <c r="L38" s="62"/>
      <c r="M38" s="62"/>
      <c r="N38" s="62"/>
      <c r="O38" s="62"/>
      <c r="P38" s="62"/>
      <c r="Q38" s="79"/>
      <c r="R38" s="64"/>
      <c r="S38" s="60"/>
      <c r="T38" s="60"/>
      <c r="U38" s="60"/>
      <c r="V38" s="60"/>
      <c r="W38" s="60"/>
      <c r="X38" s="80"/>
      <c r="Y38" s="66"/>
      <c r="Z38" s="67"/>
      <c r="AA38" s="68"/>
      <c r="AB38" s="68"/>
      <c r="AC38" s="69"/>
      <c r="AD38" s="70"/>
    </row>
    <row r="39" s="2" customFormat="1" ht="27.6" customHeight="1" spans="1:31">
      <c r="A39" s="59">
        <f t="shared" si="3"/>
        <v>36</v>
      </c>
      <c r="B39" s="60"/>
      <c r="C39" s="60"/>
      <c r="D39" s="60"/>
      <c r="E39" s="60"/>
      <c r="F39" s="61"/>
      <c r="G39" s="61"/>
      <c r="H39" s="61"/>
      <c r="I39" s="61"/>
      <c r="J39" s="60"/>
      <c r="K39" s="60"/>
      <c r="L39" s="62"/>
      <c r="M39" s="62"/>
      <c r="N39" s="62"/>
      <c r="O39" s="62"/>
      <c r="P39" s="62"/>
      <c r="Q39" s="63"/>
      <c r="R39" s="63"/>
      <c r="S39" s="60"/>
      <c r="T39" s="60"/>
      <c r="U39" s="60"/>
      <c r="V39" s="60"/>
      <c r="W39" s="60"/>
      <c r="X39" s="60"/>
      <c r="Y39" s="60"/>
      <c r="Z39" s="68"/>
      <c r="AA39" s="68"/>
      <c r="AB39" s="68"/>
      <c r="AC39" s="68"/>
      <c r="AD39" s="70"/>
    </row>
    <row r="40" s="3" customFormat="1" ht="17.1" customHeight="1" spans="1:31">
      <c r="A40" s="93" t="s">
        <v>66</v>
      </c>
      <c r="B40" s="94"/>
      <c r="C40" s="94"/>
      <c r="D40" s="94"/>
      <c r="E40" s="94"/>
      <c r="F40" s="94"/>
      <c r="G40" s="94"/>
      <c r="H40" s="94"/>
      <c r="I40" s="94"/>
      <c r="J40" s="95">
        <f>SUM(J4:J31)</f>
        <v>100280</v>
      </c>
      <c r="K40" s="95"/>
      <c r="L40" s="95">
        <f>SUM(L4:L39)</f>
        <v>53242</v>
      </c>
      <c r="M40" s="95">
        <f>SUM(M4:M39)</f>
        <v>53242</v>
      </c>
      <c r="N40" s="95">
        <f>SUM(N4:N39)</f>
        <v>53242</v>
      </c>
      <c r="O40" s="95">
        <f>SUM(O4:O39)</f>
        <v>53242</v>
      </c>
      <c r="P40" s="95">
        <f>SUM(P4:P39)</f>
        <v>53242</v>
      </c>
      <c r="Q40" s="96"/>
      <c r="R40" s="96"/>
      <c r="S40" s="96"/>
      <c r="T40" s="96"/>
      <c r="U40" s="96"/>
      <c r="V40" s="96"/>
      <c r="W40" s="96"/>
      <c r="X40" s="96"/>
      <c r="Y40" s="97"/>
      <c r="Z40" s="97"/>
      <c r="AA40" s="97"/>
      <c r="AB40" s="97"/>
      <c r="AC40" s="97"/>
      <c r="AD40" s="98"/>
    </row>
    <row r="41" s="4" customFormat="1" ht="17.1" customHeight="1" spans="1:31">
      <c r="A41" s="99"/>
      <c r="B41" s="100"/>
      <c r="C41" s="100"/>
      <c r="D41" s="100"/>
      <c r="E41" s="100"/>
      <c r="F41" s="100"/>
      <c r="G41" s="100"/>
      <c r="H41" s="100"/>
      <c r="I41" s="100"/>
      <c r="J41" s="133">
        <f>SUM(L41:P41)</f>
        <v>206180</v>
      </c>
      <c r="K41" s="100"/>
      <c r="L41" s="147">
        <f t="shared" ref="L41:P41" si="5">3580+2000+500+5000+760+9420+1100+2500+9376+5500+1000+500</f>
        <v>41236</v>
      </c>
      <c r="M41" s="147">
        <f t="shared" si="5"/>
        <v>41236</v>
      </c>
      <c r="N41" s="147">
        <f t="shared" si="5"/>
        <v>41236</v>
      </c>
      <c r="O41" s="147">
        <f t="shared" si="5"/>
        <v>41236</v>
      </c>
      <c r="P41" s="147">
        <f t="shared" si="5"/>
        <v>41236</v>
      </c>
      <c r="Q41" s="100"/>
      <c r="R41" s="100"/>
      <c r="S41" s="100"/>
      <c r="T41" s="100"/>
      <c r="U41" s="100"/>
      <c r="V41" s="100"/>
      <c r="W41" s="100"/>
      <c r="X41" s="100"/>
      <c r="Y41" s="100"/>
      <c r="Z41" s="101"/>
      <c r="AA41" s="101"/>
      <c r="AB41" s="101"/>
      <c r="AC41" s="101"/>
      <c r="AD41" s="102"/>
    </row>
    <row r="42" s="4" customFormat="1" ht="17.1" customHeight="1" spans="1:31">
      <c r="A42" s="103" t="s">
        <v>67</v>
      </c>
      <c r="B42" s="104"/>
      <c r="C42" s="104"/>
      <c r="D42" s="104"/>
      <c r="E42" s="104"/>
      <c r="F42" s="104"/>
      <c r="G42" s="104"/>
      <c r="H42" s="104"/>
      <c r="I42" s="104"/>
      <c r="J42" s="105">
        <f>SUM(L42:P42)</f>
        <v>-60030</v>
      </c>
      <c r="K42" s="104"/>
      <c r="L42" s="106">
        <f>L41-L40</f>
        <v>-12006</v>
      </c>
      <c r="M42" s="106">
        <f>M41-M40</f>
        <v>-12006</v>
      </c>
      <c r="N42" s="106">
        <f>N41-N40</f>
        <v>-12006</v>
      </c>
      <c r="O42" s="106">
        <f>O41-O40</f>
        <v>-12006</v>
      </c>
      <c r="P42" s="106">
        <f>P41-P40</f>
        <v>-12006</v>
      </c>
      <c r="Q42" s="107"/>
      <c r="R42" s="107"/>
      <c r="S42" s="107"/>
      <c r="T42" s="107"/>
      <c r="U42" s="107"/>
      <c r="V42" s="107"/>
      <c r="W42" s="107"/>
      <c r="X42" s="107"/>
      <c r="Y42" s="107"/>
      <c r="Z42" s="108"/>
      <c r="AA42" s="108"/>
      <c r="AB42" s="108"/>
      <c r="AC42" s="108"/>
      <c r="AD42" s="109"/>
    </row>
    <row r="43" customFormat="1" spans="1:31">
      <c r="B43" s="110" t="s">
        <v>68</v>
      </c>
      <c r="C43" s="110"/>
      <c r="D43" s="111"/>
      <c r="E43" s="111"/>
      <c r="F43" s="112"/>
      <c r="G43" s="112"/>
      <c r="H43" s="112"/>
      <c r="I43" s="112"/>
      <c r="Z43" s="113"/>
      <c r="AA43" s="113"/>
      <c r="AB43" s="113"/>
      <c r="AC43" s="114"/>
    </row>
    <row r="45" s="153" customFormat="1" ht="30.95" customHeight="1" spans="1:31">
      <c r="F45" s="156"/>
      <c r="G45" s="156"/>
      <c r="H45" s="156"/>
      <c r="I45" s="156"/>
      <c r="J45" s="157"/>
      <c r="Z45" s="158"/>
      <c r="AA45" s="158"/>
      <c r="AB45" s="158"/>
      <c r="AC45" s="158"/>
    </row>
  </sheetData>
  <autoFilter xmlns:etc="http://www.wps.cn/officeDocument/2017/etCustomData" ref="A3:AF43" etc:filterBottomFollowUsedRange="0">
    <filterColumn colId="28">
      <filters blank="1"/>
    </filterColumn>
    <extLst/>
  </autoFilter>
  <mergeCells count="32">
    <mergeCell ref="A1:Z1"/>
    <mergeCell ref="AA1:AB1"/>
    <mergeCell ref="AC1:AD1"/>
    <mergeCell ref="L2:P2"/>
    <mergeCell ref="A40:I40"/>
    <mergeCell ref="A41:I41"/>
    <mergeCell ref="A42:I4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42:P42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747916666666667" header="0.313888888888889" footer="0.313888888888889"/>
  <pageSetup paperSize="9" scale="75" orientation="landscape"/>
  <headerFooter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AG47"/>
  <sheetViews>
    <sheetView workbookViewId="0">
      <pane xSplit="11" ySplit="3" topLeftCell="N30" activePane="bottomRight" state="frozen"/>
      <selection/>
      <selection pane="topRight"/>
      <selection pane="bottomLeft"/>
      <selection pane="bottomRight" activeCell="Z38" sqref="Z38"/>
    </sheetView>
  </sheetViews>
  <sheetFormatPr defaultColWidth="9" defaultRowHeight="14.25"/>
  <cols>
    <col min="1" max="1" width="3.125" style="6" customWidth="1"/>
    <col min="2" max="2" width="8" style="6" customWidth="1"/>
    <col min="3" max="3" width="6.625" style="6" customWidth="1"/>
    <col min="4" max="4" width="11.625" style="6" customWidth="1"/>
    <col min="5" max="5" width="9.375" style="6" customWidth="1"/>
    <col min="6" max="9" width="5.5" style="7" customWidth="1"/>
    <col min="10" max="10" width="8.125" style="6" customWidth="1"/>
    <col min="11" max="11" width="4.875" style="6" customWidth="1"/>
    <col min="12" max="16" width="6.875" style="6" customWidth="1"/>
    <col min="17" max="17" width="8.375" style="6" customWidth="1"/>
    <col min="18" max="18" width="4.5" style="136" customWidth="1"/>
    <col min="19" max="19" width="6.125" style="6" customWidth="1"/>
    <col min="20" max="21" width="5.125" style="6" customWidth="1"/>
    <col min="22" max="23" width="6" style="6" customWidth="1"/>
    <col min="24" max="24" width="5.375" style="6" customWidth="1"/>
    <col min="25" max="25" width="8" style="6" customWidth="1"/>
    <col min="26" max="26" width="24.75" style="6" customWidth="1"/>
    <col min="27" max="27" width="9" style="8" customWidth="1"/>
    <col min="28" max="28" width="9.125" style="8" customWidth="1"/>
    <col min="29" max="30" width="8.125" style="8" customWidth="1"/>
    <col min="31" max="31" width="16" style="6" customWidth="1"/>
    <col min="32" max="32" width="18.625" style="6" customWidth="1"/>
    <col min="33" max="16384" width="9" style="6"/>
  </cols>
  <sheetData>
    <row r="1" s="6" customFormat="1" ht="35.1" customHeight="1" spans="1:33">
      <c r="A1" s="137" t="s">
        <v>4554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8"/>
      <c r="S1" s="137"/>
      <c r="T1" s="137"/>
      <c r="U1" s="137"/>
      <c r="V1" s="137"/>
      <c r="W1" s="137"/>
      <c r="X1" s="137"/>
      <c r="Y1" s="137"/>
      <c r="Z1" s="137"/>
      <c r="AA1" s="137"/>
      <c r="AB1" s="139" t="s">
        <v>1</v>
      </c>
      <c r="AC1" s="139"/>
      <c r="AD1" s="140">
        <f ca="1">TODAY()</f>
        <v>46277</v>
      </c>
      <c r="AE1" s="140"/>
    </row>
    <row r="2" s="1" customFormat="1" ht="21.95" customHeight="1" spans="1:33">
      <c r="A2" s="15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19" t="s">
        <v>15</v>
      </c>
      <c r="S2" s="21" t="s">
        <v>4020</v>
      </c>
      <c r="T2" s="21" t="s">
        <v>1082</v>
      </c>
      <c r="U2" s="21" t="s">
        <v>1081</v>
      </c>
      <c r="V2" s="141" t="s">
        <v>4021</v>
      </c>
      <c r="W2" s="141" t="s">
        <v>178</v>
      </c>
      <c r="X2" s="21" t="s">
        <v>19</v>
      </c>
      <c r="Y2" s="21" t="s">
        <v>20</v>
      </c>
      <c r="Z2" s="24" t="s">
        <v>21</v>
      </c>
      <c r="AA2" s="25" t="s">
        <v>22</v>
      </c>
      <c r="AB2" s="26" t="s">
        <v>23</v>
      </c>
      <c r="AC2" s="26" t="s">
        <v>24</v>
      </c>
      <c r="AD2" s="26" t="s">
        <v>25</v>
      </c>
      <c r="AE2" s="15" t="s">
        <v>26</v>
      </c>
    </row>
    <row r="3" s="1" customFormat="1" ht="31.5" customHeight="1" spans="1:33">
      <c r="A3" s="15"/>
      <c r="B3" s="15"/>
      <c r="C3" s="15"/>
      <c r="D3" s="15"/>
      <c r="E3" s="15"/>
      <c r="F3" s="17"/>
      <c r="G3" s="17"/>
      <c r="H3" s="17"/>
      <c r="I3" s="17"/>
      <c r="J3" s="15"/>
      <c r="K3" s="15"/>
      <c r="L3" s="30" t="s">
        <v>4027</v>
      </c>
      <c r="M3" s="30" t="s">
        <v>4028</v>
      </c>
      <c r="N3" s="30" t="s">
        <v>4029</v>
      </c>
      <c r="O3" s="30" t="s">
        <v>4030</v>
      </c>
      <c r="P3" s="30" t="s">
        <v>4031</v>
      </c>
      <c r="Q3" s="19"/>
      <c r="R3" s="19"/>
      <c r="S3" s="21"/>
      <c r="T3" s="21"/>
      <c r="U3" s="21"/>
      <c r="V3" s="141"/>
      <c r="W3" s="141"/>
      <c r="X3" s="21"/>
      <c r="Y3" s="21"/>
      <c r="Z3" s="24"/>
      <c r="AA3" s="25"/>
      <c r="AB3" s="26"/>
      <c r="AC3" s="26"/>
      <c r="AD3" s="26"/>
      <c r="AE3" s="15"/>
    </row>
    <row r="4" s="2" customFormat="1" ht="39.95" hidden="1" customHeight="1" spans="1:33">
      <c r="A4" s="34">
        <f t="shared" ref="A4:A21" si="0">ROW()-3</f>
        <v>1</v>
      </c>
      <c r="B4" s="35" t="s">
        <v>485</v>
      </c>
      <c r="C4" s="35" t="s">
        <v>486</v>
      </c>
      <c r="D4" s="35" t="s">
        <v>4555</v>
      </c>
      <c r="E4" s="35"/>
      <c r="F4" s="36">
        <v>45944</v>
      </c>
      <c r="G4" s="36">
        <v>46018</v>
      </c>
      <c r="H4" s="36">
        <v>46018</v>
      </c>
      <c r="I4" s="36">
        <v>45957</v>
      </c>
      <c r="J4" s="35">
        <f>SUBTOTAL(9,L4:P4)</f>
        <v>0</v>
      </c>
      <c r="K4" s="35">
        <v>10</v>
      </c>
      <c r="L4" s="37">
        <v>3000</v>
      </c>
      <c r="M4" s="37">
        <v>3000</v>
      </c>
      <c r="N4" s="37">
        <v>3000</v>
      </c>
      <c r="O4" s="37">
        <v>3000</v>
      </c>
      <c r="P4" s="37">
        <v>3000</v>
      </c>
      <c r="Q4" s="35" t="s">
        <v>809</v>
      </c>
      <c r="R4" s="35" t="s">
        <v>81</v>
      </c>
      <c r="S4" s="38" t="s">
        <v>4520</v>
      </c>
      <c r="T4" s="38" t="s">
        <v>4520</v>
      </c>
      <c r="U4" s="38" t="s">
        <v>4520</v>
      </c>
      <c r="V4" s="38" t="s">
        <v>4520</v>
      </c>
      <c r="W4" s="38"/>
      <c r="X4" s="35" t="s">
        <v>1097</v>
      </c>
      <c r="Y4" s="35" t="s">
        <v>809</v>
      </c>
      <c r="Z4" s="35" t="s">
        <v>4431</v>
      </c>
      <c r="AA4" s="39">
        <v>46016</v>
      </c>
      <c r="AB4" s="39">
        <v>46016</v>
      </c>
      <c r="AC4" s="39"/>
      <c r="AD4" s="39">
        <v>46026</v>
      </c>
      <c r="AE4" s="40" t="s">
        <v>4432</v>
      </c>
      <c r="AF4" s="2" t="s">
        <v>4556</v>
      </c>
    </row>
    <row r="5" s="2" customFormat="1" ht="39" hidden="1" customHeight="1" spans="1:33">
      <c r="A5" s="34">
        <f t="shared" si="0"/>
        <v>2</v>
      </c>
      <c r="B5" s="35" t="s">
        <v>2890</v>
      </c>
      <c r="C5" s="35" t="s">
        <v>1882</v>
      </c>
      <c r="D5" s="35" t="s">
        <v>4557</v>
      </c>
      <c r="E5" s="35"/>
      <c r="F5" s="36">
        <v>45875</v>
      </c>
      <c r="G5" s="36">
        <v>46035</v>
      </c>
      <c r="H5" s="36">
        <v>46035</v>
      </c>
      <c r="I5" s="36">
        <v>45883</v>
      </c>
      <c r="J5" s="35">
        <f>SUM(L5:P5)</f>
        <v>7500</v>
      </c>
      <c r="K5" s="35">
        <v>10</v>
      </c>
      <c r="L5" s="35">
        <v>1500</v>
      </c>
      <c r="M5" s="35">
        <v>1500</v>
      </c>
      <c r="N5" s="35">
        <v>1500</v>
      </c>
      <c r="O5" s="35">
        <v>1500</v>
      </c>
      <c r="P5" s="35">
        <v>1500</v>
      </c>
      <c r="Q5" s="35" t="s">
        <v>1084</v>
      </c>
      <c r="R5" s="35" t="s">
        <v>81</v>
      </c>
      <c r="S5" s="38" t="s">
        <v>4435</v>
      </c>
      <c r="T5" s="38" t="s">
        <v>4435</v>
      </c>
      <c r="U5" s="38" t="s">
        <v>4435</v>
      </c>
      <c r="V5" s="38" t="s">
        <v>4435</v>
      </c>
      <c r="W5" s="38"/>
      <c r="X5" s="35" t="s">
        <v>905</v>
      </c>
      <c r="Y5" s="35" t="s">
        <v>1084</v>
      </c>
      <c r="Z5" s="35" t="s">
        <v>4558</v>
      </c>
      <c r="AA5" s="43">
        <v>46035</v>
      </c>
      <c r="AB5" s="39">
        <v>46034</v>
      </c>
      <c r="AC5" s="44">
        <v>46035</v>
      </c>
      <c r="AD5" s="39">
        <v>46049</v>
      </c>
      <c r="AE5" s="40">
        <v>2516002</v>
      </c>
      <c r="AF5" s="2" t="s">
        <v>4556</v>
      </c>
    </row>
    <row r="6" s="2" customFormat="1" ht="30" hidden="1" customHeight="1" spans="1:33">
      <c r="A6" s="34">
        <f t="shared" si="0"/>
        <v>3</v>
      </c>
      <c r="B6" s="35" t="s">
        <v>270</v>
      </c>
      <c r="C6" s="35" t="s">
        <v>271</v>
      </c>
      <c r="D6" s="35" t="s">
        <v>4362</v>
      </c>
      <c r="E6" s="35" t="s">
        <v>4363</v>
      </c>
      <c r="F6" s="36">
        <v>46006</v>
      </c>
      <c r="G6" s="36">
        <v>46090</v>
      </c>
      <c r="H6" s="36">
        <v>46090</v>
      </c>
      <c r="I6" s="36">
        <v>46038</v>
      </c>
      <c r="J6" s="35">
        <f>SUBTOTAL(9,L6:P6)</f>
        <v>0</v>
      </c>
      <c r="K6" s="35">
        <v>10</v>
      </c>
      <c r="L6" s="37">
        <v>300</v>
      </c>
      <c r="M6" s="37">
        <v>300</v>
      </c>
      <c r="N6" s="37">
        <v>300</v>
      </c>
      <c r="O6" s="37">
        <v>300</v>
      </c>
      <c r="P6" s="37">
        <v>300</v>
      </c>
      <c r="Q6" s="35" t="s">
        <v>4364</v>
      </c>
      <c r="R6" s="45" t="s">
        <v>104</v>
      </c>
      <c r="S6" s="38" t="s">
        <v>4365</v>
      </c>
      <c r="T6" s="38" t="s">
        <v>82</v>
      </c>
      <c r="U6" s="38" t="s">
        <v>4365</v>
      </c>
      <c r="V6" s="38" t="s">
        <v>3735</v>
      </c>
      <c r="W6" s="38"/>
      <c r="X6" s="35" t="s">
        <v>2099</v>
      </c>
      <c r="Y6" s="35" t="s">
        <v>4364</v>
      </c>
      <c r="Z6" s="35" t="s">
        <v>4366</v>
      </c>
      <c r="AA6" s="39">
        <v>46088</v>
      </c>
      <c r="AB6" s="44">
        <v>46114</v>
      </c>
      <c r="AC6" s="39"/>
      <c r="AD6" s="39">
        <v>46159</v>
      </c>
      <c r="AE6" s="40" t="s">
        <v>4367</v>
      </c>
      <c r="AF6" s="2" t="s">
        <v>4556</v>
      </c>
    </row>
    <row r="7" s="2" customFormat="1" ht="30" hidden="1" customHeight="1" spans="1:33">
      <c r="A7" s="34">
        <f t="shared" si="0"/>
        <v>4</v>
      </c>
      <c r="B7" s="35" t="s">
        <v>270</v>
      </c>
      <c r="C7" s="35" t="s">
        <v>271</v>
      </c>
      <c r="D7" s="35" t="s">
        <v>4368</v>
      </c>
      <c r="E7" s="35" t="s">
        <v>4369</v>
      </c>
      <c r="F7" s="36">
        <v>46006</v>
      </c>
      <c r="G7" s="36">
        <v>46088</v>
      </c>
      <c r="H7" s="36">
        <v>46088</v>
      </c>
      <c r="I7" s="36">
        <v>46087</v>
      </c>
      <c r="J7" s="35">
        <f>SUBTOTAL(9,L7:P7)</f>
        <v>0</v>
      </c>
      <c r="K7" s="35">
        <v>10</v>
      </c>
      <c r="L7" s="37">
        <v>200</v>
      </c>
      <c r="M7" s="37">
        <v>200</v>
      </c>
      <c r="N7" s="37">
        <v>200</v>
      </c>
      <c r="O7" s="37">
        <v>200</v>
      </c>
      <c r="P7" s="37">
        <v>200</v>
      </c>
      <c r="Q7" s="35" t="s">
        <v>4364</v>
      </c>
      <c r="R7" s="45" t="s">
        <v>104</v>
      </c>
      <c r="S7" s="38" t="s">
        <v>4365</v>
      </c>
      <c r="T7" s="38" t="s">
        <v>82</v>
      </c>
      <c r="U7" s="38" t="s">
        <v>4365</v>
      </c>
      <c r="V7" s="38" t="s">
        <v>3735</v>
      </c>
      <c r="W7" s="38"/>
      <c r="X7" s="35" t="s">
        <v>4370</v>
      </c>
      <c r="Y7" s="35" t="s">
        <v>4364</v>
      </c>
      <c r="Z7" s="35" t="s">
        <v>4366</v>
      </c>
      <c r="AA7" s="39">
        <v>46086</v>
      </c>
      <c r="AB7" s="44">
        <v>46114</v>
      </c>
      <c r="AC7" s="39"/>
      <c r="AD7" s="39">
        <v>46159</v>
      </c>
      <c r="AE7" s="40" t="s">
        <v>4371</v>
      </c>
      <c r="AF7" s="2" t="s">
        <v>4556</v>
      </c>
    </row>
    <row r="8" s="2" customFormat="1" ht="30" hidden="1" customHeight="1" spans="1:33">
      <c r="A8" s="34">
        <f t="shared" si="0"/>
        <v>5</v>
      </c>
      <c r="B8" s="35" t="s">
        <v>2890</v>
      </c>
      <c r="C8" s="35" t="s">
        <v>1674</v>
      </c>
      <c r="D8" s="35" t="s">
        <v>4559</v>
      </c>
      <c r="E8" s="35" t="s">
        <v>4560</v>
      </c>
      <c r="F8" s="36">
        <v>46041</v>
      </c>
      <c r="G8" s="36">
        <v>46126</v>
      </c>
      <c r="H8" s="36">
        <v>46126</v>
      </c>
      <c r="I8" s="36">
        <v>46059</v>
      </c>
      <c r="J8" s="35">
        <v>25000</v>
      </c>
      <c r="K8" s="35">
        <v>10</v>
      </c>
      <c r="L8" s="37">
        <v>5000</v>
      </c>
      <c r="M8" s="37">
        <v>5000</v>
      </c>
      <c r="N8" s="37">
        <v>5000</v>
      </c>
      <c r="O8" s="37">
        <v>5000</v>
      </c>
      <c r="P8" s="37">
        <v>5000</v>
      </c>
      <c r="Q8" s="35" t="s">
        <v>127</v>
      </c>
      <c r="R8" s="45" t="s">
        <v>104</v>
      </c>
      <c r="S8" s="38" t="s">
        <v>730</v>
      </c>
      <c r="T8" s="38" t="s">
        <v>4561</v>
      </c>
      <c r="U8" s="38" t="s">
        <v>730</v>
      </c>
      <c r="V8" s="38" t="s">
        <v>3735</v>
      </c>
      <c r="W8" s="38"/>
      <c r="X8" s="35" t="s">
        <v>730</v>
      </c>
      <c r="Y8" s="35" t="s">
        <v>127</v>
      </c>
      <c r="Z8" s="35" t="s">
        <v>4243</v>
      </c>
      <c r="AA8" s="39">
        <v>46126</v>
      </c>
      <c r="AB8" s="44">
        <v>46121</v>
      </c>
      <c r="AC8" s="39">
        <v>46142</v>
      </c>
      <c r="AD8" s="39" t="s">
        <v>4562</v>
      </c>
      <c r="AE8" s="40" t="s">
        <v>4563</v>
      </c>
      <c r="AF8" s="2" t="s">
        <v>4564</v>
      </c>
      <c r="AG8" s="2" t="s">
        <v>4565</v>
      </c>
    </row>
    <row r="9" s="2" customFormat="1" ht="30" hidden="1" customHeight="1" spans="1:33">
      <c r="A9" s="47">
        <f t="shared" si="0"/>
        <v>6</v>
      </c>
      <c r="B9" s="37" t="s">
        <v>4526</v>
      </c>
      <c r="C9" s="37" t="s">
        <v>645</v>
      </c>
      <c r="D9" s="37" t="s">
        <v>4527</v>
      </c>
      <c r="E9" s="37" t="s">
        <v>4528</v>
      </c>
      <c r="F9" s="56">
        <v>46043</v>
      </c>
      <c r="G9" s="56">
        <v>46150</v>
      </c>
      <c r="H9" s="56">
        <v>46150</v>
      </c>
      <c r="I9" s="56">
        <v>46086</v>
      </c>
      <c r="J9" s="37">
        <f>SUBTOTAL(9,L9:P9)</f>
        <v>0</v>
      </c>
      <c r="K9" s="37">
        <v>10</v>
      </c>
      <c r="L9" s="37">
        <v>500</v>
      </c>
      <c r="M9" s="37">
        <v>500</v>
      </c>
      <c r="N9" s="37">
        <v>500</v>
      </c>
      <c r="O9" s="37">
        <v>500</v>
      </c>
      <c r="P9" s="37">
        <v>500</v>
      </c>
      <c r="Q9" s="37">
        <v>500</v>
      </c>
      <c r="R9" s="46" t="s">
        <v>104</v>
      </c>
      <c r="S9" s="54" t="s">
        <v>4154</v>
      </c>
      <c r="T9" s="54" t="s">
        <v>4561</v>
      </c>
      <c r="U9" s="54" t="s">
        <v>4154</v>
      </c>
      <c r="V9" s="54" t="s">
        <v>3735</v>
      </c>
      <c r="W9" s="54"/>
      <c r="X9" s="37" t="s">
        <v>3417</v>
      </c>
      <c r="Y9" s="37" t="s">
        <v>2495</v>
      </c>
      <c r="Z9" s="37" t="s">
        <v>4529</v>
      </c>
      <c r="AA9" s="44">
        <v>46150</v>
      </c>
      <c r="AB9" s="44">
        <v>46150</v>
      </c>
      <c r="AC9" s="44"/>
      <c r="AD9" s="44">
        <v>46163</v>
      </c>
      <c r="AE9" s="55"/>
      <c r="AF9" s="2" t="s">
        <v>4564</v>
      </c>
      <c r="AG9" s="2" t="s">
        <v>1610</v>
      </c>
    </row>
    <row r="10" s="2" customFormat="1" ht="30" hidden="1" customHeight="1" spans="1:33">
      <c r="A10" s="47">
        <f t="shared" si="0"/>
        <v>7</v>
      </c>
      <c r="B10" s="37" t="s">
        <v>420</v>
      </c>
      <c r="C10" s="37" t="s">
        <v>421</v>
      </c>
      <c r="D10" s="37" t="s">
        <v>4396</v>
      </c>
      <c r="E10" s="37" t="s">
        <v>4397</v>
      </c>
      <c r="F10" s="56">
        <v>46094</v>
      </c>
      <c r="G10" s="56">
        <v>46169</v>
      </c>
      <c r="H10" s="56">
        <v>46169</v>
      </c>
      <c r="I10" s="56">
        <v>46136</v>
      </c>
      <c r="J10" s="37">
        <f>SUBTOTAL(9,L10:P10)</f>
        <v>0</v>
      </c>
      <c r="K10" s="37">
        <v>10</v>
      </c>
      <c r="L10" s="37">
        <v>3000</v>
      </c>
      <c r="M10" s="37">
        <v>3000</v>
      </c>
      <c r="N10" s="37">
        <v>3000</v>
      </c>
      <c r="O10" s="37">
        <v>3000</v>
      </c>
      <c r="P10" s="37">
        <v>3000</v>
      </c>
      <c r="Q10" s="37" t="s">
        <v>2495</v>
      </c>
      <c r="R10" s="46" t="s">
        <v>196</v>
      </c>
      <c r="S10" s="54" t="s">
        <v>4083</v>
      </c>
      <c r="T10" s="54" t="s">
        <v>4561</v>
      </c>
      <c r="U10" s="54" t="s">
        <v>4083</v>
      </c>
      <c r="V10" s="54" t="s">
        <v>4084</v>
      </c>
      <c r="W10" s="54"/>
      <c r="X10" s="54" t="s">
        <v>501</v>
      </c>
      <c r="Y10" s="37" t="s">
        <v>2495</v>
      </c>
      <c r="Z10" s="37" t="s">
        <v>4221</v>
      </c>
      <c r="AA10" s="44">
        <v>46169</v>
      </c>
      <c r="AB10" s="44">
        <v>46171</v>
      </c>
      <c r="AC10" s="44"/>
      <c r="AD10" s="44">
        <v>46186</v>
      </c>
      <c r="AE10" s="55" t="s">
        <v>4398</v>
      </c>
      <c r="AF10" s="2" t="s">
        <v>4566</v>
      </c>
      <c r="AG10" s="2" t="s">
        <v>3235</v>
      </c>
    </row>
    <row r="11" s="2" customFormat="1" ht="36.95" hidden="1" customHeight="1" spans="1:33">
      <c r="A11" s="47">
        <f t="shared" si="0"/>
        <v>8</v>
      </c>
      <c r="B11" s="37" t="s">
        <v>359</v>
      </c>
      <c r="C11" s="37" t="s">
        <v>360</v>
      </c>
      <c r="D11" s="37" t="s">
        <v>4319</v>
      </c>
      <c r="E11" s="37" t="s">
        <v>4320</v>
      </c>
      <c r="F11" s="56">
        <v>46140</v>
      </c>
      <c r="G11" s="56">
        <v>46175</v>
      </c>
      <c r="H11" s="56">
        <v>46175</v>
      </c>
      <c r="I11" s="56">
        <v>46147</v>
      </c>
      <c r="J11" s="37">
        <f>SUBTOTAL(9,L11:P11)</f>
        <v>0</v>
      </c>
      <c r="K11" s="37">
        <v>10</v>
      </c>
      <c r="L11" s="37">
        <v>100</v>
      </c>
      <c r="M11" s="37">
        <v>100</v>
      </c>
      <c r="N11" s="37">
        <v>100</v>
      </c>
      <c r="O11" s="37">
        <v>100</v>
      </c>
      <c r="P11" s="37">
        <v>100</v>
      </c>
      <c r="Q11" s="37" t="s">
        <v>499</v>
      </c>
      <c r="R11" s="46" t="s">
        <v>104</v>
      </c>
      <c r="S11" s="54" t="s">
        <v>526</v>
      </c>
      <c r="T11" s="54" t="s">
        <v>526</v>
      </c>
      <c r="U11" s="54" t="s">
        <v>526</v>
      </c>
      <c r="V11" s="54" t="s">
        <v>1184</v>
      </c>
      <c r="W11" s="54"/>
      <c r="X11" s="54" t="s">
        <v>144</v>
      </c>
      <c r="Y11" s="37" t="s">
        <v>499</v>
      </c>
      <c r="Z11" s="37" t="s">
        <v>4250</v>
      </c>
      <c r="AA11" s="44">
        <v>46174</v>
      </c>
      <c r="AB11" s="44">
        <v>46178</v>
      </c>
      <c r="AC11" s="44"/>
      <c r="AD11" s="44">
        <v>46184</v>
      </c>
      <c r="AE11" s="55" t="s">
        <v>1771</v>
      </c>
      <c r="AF11" s="2" t="s">
        <v>4564</v>
      </c>
      <c r="AG11" s="2" t="s">
        <v>1802</v>
      </c>
    </row>
    <row r="12" s="2" customFormat="1" ht="30" hidden="1" customHeight="1" spans="1:33">
      <c r="A12" s="47">
        <f t="shared" si="0"/>
        <v>9</v>
      </c>
      <c r="B12" s="37" t="s">
        <v>3162</v>
      </c>
      <c r="C12" s="37" t="s">
        <v>360</v>
      </c>
      <c r="D12" s="37" t="s">
        <v>4223</v>
      </c>
      <c r="E12" s="37" t="s">
        <v>4224</v>
      </c>
      <c r="F12" s="56">
        <v>46099</v>
      </c>
      <c r="G12" s="56">
        <v>46177</v>
      </c>
      <c r="H12" s="56">
        <v>46177</v>
      </c>
      <c r="I12" s="56">
        <v>46134</v>
      </c>
      <c r="J12" s="37">
        <f>SUM(L12:P12)</f>
        <v>2500</v>
      </c>
      <c r="K12" s="37">
        <v>10</v>
      </c>
      <c r="L12" s="37">
        <v>500</v>
      </c>
      <c r="M12" s="37">
        <v>500</v>
      </c>
      <c r="N12" s="37">
        <v>500</v>
      </c>
      <c r="O12" s="37">
        <v>500</v>
      </c>
      <c r="P12" s="37">
        <v>500</v>
      </c>
      <c r="Q12" s="37" t="s">
        <v>499</v>
      </c>
      <c r="R12" s="46" t="s">
        <v>104</v>
      </c>
      <c r="S12" s="54" t="s">
        <v>501</v>
      </c>
      <c r="T12" s="54" t="s">
        <v>501</v>
      </c>
      <c r="U12" s="54" t="s">
        <v>501</v>
      </c>
      <c r="V12" s="54" t="s">
        <v>1184</v>
      </c>
      <c r="W12" s="54"/>
      <c r="X12" s="37" t="s">
        <v>1072</v>
      </c>
      <c r="Y12" s="37" t="s">
        <v>499</v>
      </c>
      <c r="Z12" s="37" t="s">
        <v>4250</v>
      </c>
      <c r="AA12" s="44">
        <v>46177</v>
      </c>
      <c r="AB12" s="44">
        <v>46178</v>
      </c>
      <c r="AC12" s="44"/>
      <c r="AD12" s="44">
        <v>46179</v>
      </c>
      <c r="AE12" s="55" t="s">
        <v>4226</v>
      </c>
      <c r="AF12" s="2" t="s">
        <v>4564</v>
      </c>
      <c r="AG12" s="2" t="s">
        <v>1782</v>
      </c>
    </row>
    <row r="13" s="2" customFormat="1" ht="39" hidden="1" customHeight="1" spans="1:33">
      <c r="A13" s="35">
        <f t="shared" si="0"/>
        <v>10</v>
      </c>
      <c r="B13" s="35" t="s">
        <v>4400</v>
      </c>
      <c r="C13" s="35" t="s">
        <v>645</v>
      </c>
      <c r="D13" s="35" t="s">
        <v>4401</v>
      </c>
      <c r="E13" s="35" t="s">
        <v>4402</v>
      </c>
      <c r="F13" s="36">
        <v>46086</v>
      </c>
      <c r="G13" s="36">
        <v>46183</v>
      </c>
      <c r="H13" s="36">
        <v>46183</v>
      </c>
      <c r="I13" s="36">
        <v>46108</v>
      </c>
      <c r="J13" s="35">
        <f t="shared" ref="J13:J20" si="1">SUBTOTAL(9,L13:P13)</f>
        <v>0</v>
      </c>
      <c r="K13" s="35">
        <v>10</v>
      </c>
      <c r="L13" s="37">
        <v>360</v>
      </c>
      <c r="M13" s="37">
        <v>360</v>
      </c>
      <c r="N13" s="37">
        <v>360</v>
      </c>
      <c r="O13" s="37">
        <v>360</v>
      </c>
      <c r="P13" s="37">
        <v>360</v>
      </c>
      <c r="Q13" s="35" t="s">
        <v>499</v>
      </c>
      <c r="R13" s="45" t="s">
        <v>104</v>
      </c>
      <c r="S13" s="38" t="s">
        <v>501</v>
      </c>
      <c r="T13" s="38" t="s">
        <v>501</v>
      </c>
      <c r="U13" s="38" t="s">
        <v>501</v>
      </c>
      <c r="V13" s="38" t="s">
        <v>1184</v>
      </c>
      <c r="W13" s="38"/>
      <c r="X13" s="35" t="s">
        <v>1072</v>
      </c>
      <c r="Y13" s="35" t="s">
        <v>499</v>
      </c>
      <c r="Z13" s="37" t="s">
        <v>4403</v>
      </c>
      <c r="AA13" s="39">
        <v>46183</v>
      </c>
      <c r="AB13" s="44">
        <v>46185</v>
      </c>
      <c r="AC13" s="39"/>
      <c r="AD13" s="39">
        <v>46238</v>
      </c>
      <c r="AE13" s="35"/>
      <c r="AF13" s="2" t="s">
        <v>4564</v>
      </c>
      <c r="AG13" s="2" t="s">
        <v>2533</v>
      </c>
    </row>
    <row r="14" s="2" customFormat="1" ht="33.6" hidden="1" customHeight="1" spans="1:33">
      <c r="A14" s="34">
        <f t="shared" si="0"/>
        <v>11</v>
      </c>
      <c r="B14" s="35" t="s">
        <v>420</v>
      </c>
      <c r="C14" s="35" t="s">
        <v>421</v>
      </c>
      <c r="D14" s="37" t="s">
        <v>4230</v>
      </c>
      <c r="E14" s="35" t="s">
        <v>4231</v>
      </c>
      <c r="F14" s="36">
        <v>46113</v>
      </c>
      <c r="G14" s="36">
        <v>46183</v>
      </c>
      <c r="H14" s="36">
        <v>46183</v>
      </c>
      <c r="I14" s="36">
        <v>46136</v>
      </c>
      <c r="J14" s="35">
        <f t="shared" si="1"/>
        <v>0</v>
      </c>
      <c r="K14" s="35">
        <v>10</v>
      </c>
      <c r="L14" s="37">
        <v>320</v>
      </c>
      <c r="M14" s="37">
        <v>320</v>
      </c>
      <c r="N14" s="37">
        <v>320</v>
      </c>
      <c r="O14" s="37">
        <v>320</v>
      </c>
      <c r="P14" s="37">
        <v>320</v>
      </c>
      <c r="Q14" s="35" t="s">
        <v>499</v>
      </c>
      <c r="R14" s="45" t="s">
        <v>196</v>
      </c>
      <c r="S14" s="38" t="s">
        <v>501</v>
      </c>
      <c r="T14" s="38" t="s">
        <v>501</v>
      </c>
      <c r="U14" s="38" t="s">
        <v>501</v>
      </c>
      <c r="V14" s="38" t="s">
        <v>1184</v>
      </c>
      <c r="W14" s="38"/>
      <c r="X14" s="35" t="s">
        <v>144</v>
      </c>
      <c r="Y14" s="35" t="s">
        <v>499</v>
      </c>
      <c r="Z14" s="37" t="s">
        <v>4232</v>
      </c>
      <c r="AA14" s="39">
        <v>46183</v>
      </c>
      <c r="AB14" s="57">
        <v>46189</v>
      </c>
      <c r="AC14" s="39"/>
      <c r="AD14" s="39">
        <v>46196</v>
      </c>
      <c r="AE14" s="40" t="s">
        <v>4233</v>
      </c>
      <c r="AF14" s="2" t="s">
        <v>4566</v>
      </c>
      <c r="AG14" s="2" t="s">
        <v>1782</v>
      </c>
    </row>
    <row r="15" s="2" customFormat="1" ht="33.6" hidden="1" customHeight="1" spans="1:33">
      <c r="A15" s="35">
        <f t="shared" si="0"/>
        <v>12</v>
      </c>
      <c r="B15" s="35" t="s">
        <v>420</v>
      </c>
      <c r="C15" s="35" t="s">
        <v>421</v>
      </c>
      <c r="D15" s="37" t="s">
        <v>4234</v>
      </c>
      <c r="E15" s="35" t="s">
        <v>4235</v>
      </c>
      <c r="F15" s="36">
        <v>46113</v>
      </c>
      <c r="G15" s="36">
        <v>46192</v>
      </c>
      <c r="H15" s="36">
        <v>46192</v>
      </c>
      <c r="I15" s="36">
        <v>46136</v>
      </c>
      <c r="J15" s="35">
        <f t="shared" si="1"/>
        <v>0</v>
      </c>
      <c r="K15" s="35">
        <v>10</v>
      </c>
      <c r="L15" s="37">
        <v>2000</v>
      </c>
      <c r="M15" s="37">
        <v>2000</v>
      </c>
      <c r="N15" s="37">
        <v>2000</v>
      </c>
      <c r="O15" s="37">
        <v>2000</v>
      </c>
      <c r="P15" s="37">
        <v>2000</v>
      </c>
      <c r="Q15" s="35" t="s">
        <v>499</v>
      </c>
      <c r="R15" s="45" t="s">
        <v>196</v>
      </c>
      <c r="S15" s="38" t="s">
        <v>501</v>
      </c>
      <c r="T15" s="38" t="s">
        <v>501</v>
      </c>
      <c r="U15" s="38" t="s">
        <v>501</v>
      </c>
      <c r="V15" s="38" t="s">
        <v>1184</v>
      </c>
      <c r="W15" s="38"/>
      <c r="X15" s="35" t="s">
        <v>144</v>
      </c>
      <c r="Y15" s="35" t="s">
        <v>499</v>
      </c>
      <c r="Z15" s="37" t="s">
        <v>4210</v>
      </c>
      <c r="AA15" s="39">
        <v>46192</v>
      </c>
      <c r="AB15" s="57">
        <v>46211</v>
      </c>
      <c r="AC15" s="39"/>
      <c r="AD15" s="39">
        <v>46217</v>
      </c>
      <c r="AE15" s="35" t="s">
        <v>4236</v>
      </c>
      <c r="AF15" s="2" t="s">
        <v>4566</v>
      </c>
      <c r="AG15" s="2" t="s">
        <v>1782</v>
      </c>
    </row>
    <row r="16" s="2" customFormat="1" ht="27.6" hidden="1" customHeight="1" spans="1:33">
      <c r="A16" s="35">
        <f t="shared" si="0"/>
        <v>13</v>
      </c>
      <c r="B16" s="35" t="s">
        <v>3162</v>
      </c>
      <c r="C16" s="35" t="s">
        <v>360</v>
      </c>
      <c r="D16" s="37" t="s">
        <v>4404</v>
      </c>
      <c r="E16" s="35" t="s">
        <v>4405</v>
      </c>
      <c r="F16" s="36">
        <v>46122</v>
      </c>
      <c r="G16" s="36">
        <v>46196</v>
      </c>
      <c r="H16" s="36">
        <v>46196</v>
      </c>
      <c r="I16" s="36">
        <v>46136</v>
      </c>
      <c r="J16" s="35">
        <f t="shared" si="1"/>
        <v>0</v>
      </c>
      <c r="K16" s="35">
        <v>10</v>
      </c>
      <c r="L16" s="37">
        <v>1000</v>
      </c>
      <c r="M16" s="37">
        <v>1000</v>
      </c>
      <c r="N16" s="37">
        <v>1000</v>
      </c>
      <c r="O16" s="37">
        <v>1000</v>
      </c>
      <c r="P16" s="37">
        <v>1000</v>
      </c>
      <c r="Q16" s="35" t="s">
        <v>1749</v>
      </c>
      <c r="R16" s="45" t="s">
        <v>104</v>
      </c>
      <c r="S16" s="38" t="s">
        <v>526</v>
      </c>
      <c r="T16" s="38" t="s">
        <v>526</v>
      </c>
      <c r="U16" s="38" t="s">
        <v>526</v>
      </c>
      <c r="V16" s="38" t="s">
        <v>1875</v>
      </c>
      <c r="W16" s="38"/>
      <c r="X16" s="35" t="s">
        <v>526</v>
      </c>
      <c r="Y16" s="35" t="s">
        <v>1749</v>
      </c>
      <c r="Z16" s="37" t="s">
        <v>4250</v>
      </c>
      <c r="AA16" s="39">
        <v>46196</v>
      </c>
      <c r="AB16" s="44">
        <v>46197</v>
      </c>
      <c r="AC16" s="39"/>
      <c r="AD16" s="39">
        <v>46207</v>
      </c>
      <c r="AE16" s="35" t="s">
        <v>4406</v>
      </c>
      <c r="AF16" s="41" t="s">
        <v>4564</v>
      </c>
      <c r="AG16" s="2" t="s">
        <v>1782</v>
      </c>
    </row>
    <row r="17" s="2" customFormat="1" ht="33.6" hidden="1" customHeight="1" spans="1:33">
      <c r="A17" s="35">
        <f t="shared" si="0"/>
        <v>14</v>
      </c>
      <c r="B17" s="35" t="s">
        <v>4237</v>
      </c>
      <c r="C17" s="35" t="s">
        <v>114</v>
      </c>
      <c r="D17" s="37" t="s">
        <v>4238</v>
      </c>
      <c r="E17" s="35" t="s">
        <v>4239</v>
      </c>
      <c r="F17" s="36">
        <v>46101</v>
      </c>
      <c r="G17" s="36">
        <v>46197</v>
      </c>
      <c r="H17" s="36">
        <v>46197</v>
      </c>
      <c r="I17" s="36">
        <v>46135</v>
      </c>
      <c r="J17" s="35">
        <f t="shared" si="1"/>
        <v>0</v>
      </c>
      <c r="K17" s="35">
        <v>10</v>
      </c>
      <c r="L17" s="37">
        <v>600</v>
      </c>
      <c r="M17" s="37">
        <v>600</v>
      </c>
      <c r="N17" s="37">
        <v>600</v>
      </c>
      <c r="O17" s="37">
        <v>600</v>
      </c>
      <c r="P17" s="37">
        <v>600</v>
      </c>
      <c r="Q17" s="35" t="s">
        <v>1749</v>
      </c>
      <c r="R17" s="45" t="s">
        <v>104</v>
      </c>
      <c r="S17" s="38" t="s">
        <v>526</v>
      </c>
      <c r="T17" s="38" t="s">
        <v>526</v>
      </c>
      <c r="U17" s="38" t="s">
        <v>526</v>
      </c>
      <c r="V17" s="38" t="s">
        <v>1875</v>
      </c>
      <c r="W17" s="38"/>
      <c r="X17" s="35" t="s">
        <v>526</v>
      </c>
      <c r="Y17" s="35" t="s">
        <v>1749</v>
      </c>
      <c r="Z17" s="37" t="s">
        <v>4240</v>
      </c>
      <c r="AA17" s="39">
        <v>46197</v>
      </c>
      <c r="AB17" s="44">
        <v>46197</v>
      </c>
      <c r="AC17" s="39"/>
      <c r="AD17" s="39">
        <v>46218</v>
      </c>
      <c r="AE17" s="35">
        <v>4504222790</v>
      </c>
      <c r="AF17" s="41" t="s">
        <v>4564</v>
      </c>
      <c r="AG17" s="2" t="s">
        <v>1782</v>
      </c>
    </row>
    <row r="18" s="2" customFormat="1" ht="33" hidden="1" customHeight="1" spans="1:33">
      <c r="A18" s="35">
        <f t="shared" si="0"/>
        <v>15</v>
      </c>
      <c r="B18" s="37" t="s">
        <v>359</v>
      </c>
      <c r="C18" s="37" t="s">
        <v>360</v>
      </c>
      <c r="D18" s="37" t="s">
        <v>4328</v>
      </c>
      <c r="E18" s="51" t="s">
        <v>4329</v>
      </c>
      <c r="F18" s="36">
        <v>46140</v>
      </c>
      <c r="G18" s="36">
        <v>46205</v>
      </c>
      <c r="H18" s="36">
        <v>46205</v>
      </c>
      <c r="I18" s="36">
        <v>46147</v>
      </c>
      <c r="J18" s="35">
        <f t="shared" si="1"/>
        <v>0</v>
      </c>
      <c r="K18" s="35">
        <v>10</v>
      </c>
      <c r="L18" s="37">
        <v>400</v>
      </c>
      <c r="M18" s="37">
        <v>400</v>
      </c>
      <c r="N18" s="37">
        <v>400</v>
      </c>
      <c r="O18" s="37">
        <v>400</v>
      </c>
      <c r="P18" s="37">
        <v>400</v>
      </c>
      <c r="Q18" s="35" t="s">
        <v>1749</v>
      </c>
      <c r="R18" s="45" t="s">
        <v>104</v>
      </c>
      <c r="S18" s="38" t="s">
        <v>526</v>
      </c>
      <c r="T18" s="38" t="s">
        <v>526</v>
      </c>
      <c r="U18" s="38" t="s">
        <v>526</v>
      </c>
      <c r="V18" s="38" t="s">
        <v>1875</v>
      </c>
      <c r="W18" s="38"/>
      <c r="X18" s="35" t="s">
        <v>390</v>
      </c>
      <c r="Y18" s="35" t="s">
        <v>1749</v>
      </c>
      <c r="Z18" s="37" t="s">
        <v>4250</v>
      </c>
      <c r="AA18" s="39">
        <v>46205</v>
      </c>
      <c r="AB18" s="44">
        <v>46217</v>
      </c>
      <c r="AC18" s="39"/>
      <c r="AD18" s="39">
        <v>46217</v>
      </c>
      <c r="AE18" s="35" t="s">
        <v>1771</v>
      </c>
      <c r="AF18" s="41" t="s">
        <v>4564</v>
      </c>
      <c r="AG18" s="2" t="s">
        <v>1802</v>
      </c>
    </row>
    <row r="19" s="2" customFormat="1" ht="27" hidden="1" customHeight="1" spans="1:33">
      <c r="A19" s="35">
        <f t="shared" si="0"/>
        <v>16</v>
      </c>
      <c r="B19" s="35" t="s">
        <v>420</v>
      </c>
      <c r="C19" s="35" t="s">
        <v>421</v>
      </c>
      <c r="D19" s="35" t="s">
        <v>4408</v>
      </c>
      <c r="E19" s="35" t="s">
        <v>4409</v>
      </c>
      <c r="F19" s="36">
        <v>46093</v>
      </c>
      <c r="G19" s="36">
        <v>46217</v>
      </c>
      <c r="H19" s="36">
        <v>46217</v>
      </c>
      <c r="I19" s="36">
        <v>46185</v>
      </c>
      <c r="J19" s="35">
        <f t="shared" si="1"/>
        <v>0</v>
      </c>
      <c r="K19" s="35">
        <v>10</v>
      </c>
      <c r="L19" s="37">
        <v>1500</v>
      </c>
      <c r="M19" s="37">
        <v>1500</v>
      </c>
      <c r="N19" s="37">
        <v>1500</v>
      </c>
      <c r="O19" s="37">
        <v>1500</v>
      </c>
      <c r="P19" s="37">
        <v>1500</v>
      </c>
      <c r="Q19" s="35" t="s">
        <v>554</v>
      </c>
      <c r="R19" s="45" t="s">
        <v>196</v>
      </c>
      <c r="S19" s="35" t="s">
        <v>1750</v>
      </c>
      <c r="T19" s="35" t="s">
        <v>1750</v>
      </c>
      <c r="U19" s="35" t="s">
        <v>1750</v>
      </c>
      <c r="V19" s="35" t="s">
        <v>4128</v>
      </c>
      <c r="W19" s="35"/>
      <c r="X19" s="35" t="s">
        <v>4410</v>
      </c>
      <c r="Y19" s="35" t="s">
        <v>554</v>
      </c>
      <c r="Z19" s="35" t="s">
        <v>4221</v>
      </c>
      <c r="AA19" s="39">
        <v>46217</v>
      </c>
      <c r="AB19" s="39">
        <v>46220</v>
      </c>
      <c r="AC19" s="39"/>
      <c r="AD19" s="39">
        <v>46227</v>
      </c>
      <c r="AE19" s="35" t="s">
        <v>4411</v>
      </c>
      <c r="AF19" s="2" t="s">
        <v>4566</v>
      </c>
      <c r="AG19" s="2" t="s">
        <v>1794</v>
      </c>
    </row>
    <row r="20" s="2" customFormat="1" ht="27" hidden="1" customHeight="1" spans="1:33">
      <c r="A20" s="35">
        <f t="shared" si="0"/>
        <v>17</v>
      </c>
      <c r="B20" s="37" t="s">
        <v>4271</v>
      </c>
      <c r="C20" s="37" t="s">
        <v>114</v>
      </c>
      <c r="D20" s="35" t="s">
        <v>4272</v>
      </c>
      <c r="E20" s="37" t="s">
        <v>4273</v>
      </c>
      <c r="F20" s="36">
        <v>46132</v>
      </c>
      <c r="G20" s="36">
        <v>46205</v>
      </c>
      <c r="H20" s="36">
        <v>46205</v>
      </c>
      <c r="I20" s="36">
        <v>46185</v>
      </c>
      <c r="J20" s="35">
        <f t="shared" si="1"/>
        <v>0</v>
      </c>
      <c r="K20" s="35">
        <v>10</v>
      </c>
      <c r="L20" s="37">
        <v>600</v>
      </c>
      <c r="M20" s="37">
        <v>600</v>
      </c>
      <c r="N20" s="37">
        <v>600</v>
      </c>
      <c r="O20" s="37">
        <v>600</v>
      </c>
      <c r="P20" s="37">
        <v>600</v>
      </c>
      <c r="Q20" s="35" t="s">
        <v>1749</v>
      </c>
      <c r="R20" s="45" t="s">
        <v>104</v>
      </c>
      <c r="S20" s="38" t="s">
        <v>526</v>
      </c>
      <c r="T20" s="38" t="s">
        <v>526</v>
      </c>
      <c r="U20" s="38" t="s">
        <v>526</v>
      </c>
      <c r="V20" s="38" t="s">
        <v>1875</v>
      </c>
      <c r="W20" s="38"/>
      <c r="X20" s="35" t="s">
        <v>933</v>
      </c>
      <c r="Y20" s="35" t="s">
        <v>1749</v>
      </c>
      <c r="Z20" s="35" t="s">
        <v>4250</v>
      </c>
      <c r="AA20" s="39">
        <v>46213</v>
      </c>
      <c r="AB20" s="44">
        <v>46226</v>
      </c>
      <c r="AC20" s="39"/>
      <c r="AD20" s="39">
        <v>46235</v>
      </c>
      <c r="AE20" s="35" t="s">
        <v>4274</v>
      </c>
      <c r="AF20" s="41" t="s">
        <v>4564</v>
      </c>
      <c r="AG20" s="2" t="s">
        <v>1802</v>
      </c>
    </row>
    <row r="21" s="2" customFormat="1" ht="27" hidden="1" customHeight="1" spans="1:33">
      <c r="A21" s="35">
        <f t="shared" si="0"/>
        <v>18</v>
      </c>
      <c r="B21" s="37" t="s">
        <v>3833</v>
      </c>
      <c r="C21" s="35" t="s">
        <v>114</v>
      </c>
      <c r="D21" s="37" t="s">
        <v>4247</v>
      </c>
      <c r="E21" s="37" t="s">
        <v>4248</v>
      </c>
      <c r="F21" s="56">
        <v>46134</v>
      </c>
      <c r="G21" s="56">
        <v>46217</v>
      </c>
      <c r="H21" s="56">
        <v>46217</v>
      </c>
      <c r="I21" s="56">
        <v>46169</v>
      </c>
      <c r="J21" s="37">
        <f>SUM(L21:P21)</f>
        <v>3000</v>
      </c>
      <c r="K21" s="35">
        <v>10</v>
      </c>
      <c r="L21" s="35">
        <v>600</v>
      </c>
      <c r="M21" s="35">
        <v>600</v>
      </c>
      <c r="N21" s="35">
        <v>600</v>
      </c>
      <c r="O21" s="35">
        <v>600</v>
      </c>
      <c r="P21" s="35">
        <v>600</v>
      </c>
      <c r="Q21" s="35" t="s">
        <v>554</v>
      </c>
      <c r="R21" s="45" t="s">
        <v>104</v>
      </c>
      <c r="S21" s="35" t="s">
        <v>1750</v>
      </c>
      <c r="T21" s="35" t="s">
        <v>1750</v>
      </c>
      <c r="U21" s="35" t="s">
        <v>1750</v>
      </c>
      <c r="V21" s="35" t="s">
        <v>4128</v>
      </c>
      <c r="W21" s="35"/>
      <c r="X21" s="35" t="s">
        <v>4249</v>
      </c>
      <c r="Y21" s="35" t="s">
        <v>554</v>
      </c>
      <c r="Z21" s="35" t="s">
        <v>4250</v>
      </c>
      <c r="AA21" s="39">
        <v>46217</v>
      </c>
      <c r="AB21" s="142">
        <v>46230</v>
      </c>
      <c r="AC21" s="39"/>
      <c r="AD21" s="39">
        <v>46233</v>
      </c>
      <c r="AE21" s="35" t="s">
        <v>4251</v>
      </c>
      <c r="AF21" s="2" t="s">
        <v>4564</v>
      </c>
      <c r="AG21" s="2" t="s">
        <v>1794</v>
      </c>
    </row>
    <row r="22" s="2" customFormat="1" ht="42" hidden="1" customHeight="1" spans="1:33">
      <c r="A22" s="35">
        <f t="shared" ref="A22:A43" si="2">ROW()-3</f>
        <v>19</v>
      </c>
      <c r="B22" s="35" t="s">
        <v>2902</v>
      </c>
      <c r="C22" s="35" t="s">
        <v>486</v>
      </c>
      <c r="D22" s="35" t="s">
        <v>4567</v>
      </c>
      <c r="E22" s="35" t="s">
        <v>4568</v>
      </c>
      <c r="F22" s="36">
        <v>46155</v>
      </c>
      <c r="G22" s="36">
        <v>46240</v>
      </c>
      <c r="H22" s="36">
        <v>46240</v>
      </c>
      <c r="I22" s="36">
        <v>46169</v>
      </c>
      <c r="J22" s="35">
        <f>SUBTOTAL(9,L22:P22)</f>
        <v>0</v>
      </c>
      <c r="K22" s="35">
        <v>10</v>
      </c>
      <c r="L22" s="37">
        <v>1520</v>
      </c>
      <c r="M22" s="37">
        <v>1520</v>
      </c>
      <c r="N22" s="37">
        <v>1520</v>
      </c>
      <c r="O22" s="37">
        <v>1520</v>
      </c>
      <c r="P22" s="37">
        <v>1520</v>
      </c>
      <c r="Q22" s="35" t="s">
        <v>1600</v>
      </c>
      <c r="R22" s="45" t="s">
        <v>104</v>
      </c>
      <c r="S22" s="38" t="s">
        <v>4138</v>
      </c>
      <c r="T22" s="38" t="s">
        <v>4138</v>
      </c>
      <c r="U22" s="38" t="s">
        <v>4138</v>
      </c>
      <c r="V22" s="38" t="s">
        <v>1207</v>
      </c>
      <c r="W22" s="38"/>
      <c r="X22" s="35" t="s">
        <v>1227</v>
      </c>
      <c r="Y22" s="35" t="s">
        <v>1600</v>
      </c>
      <c r="Z22" s="37" t="s">
        <v>4569</v>
      </c>
      <c r="AA22" s="39">
        <v>46240</v>
      </c>
      <c r="AB22" s="39">
        <v>46239</v>
      </c>
      <c r="AC22" s="39"/>
      <c r="AD22" s="39">
        <v>46253</v>
      </c>
      <c r="AE22" s="35">
        <v>93654501</v>
      </c>
      <c r="AF22" s="2" t="s">
        <v>4564</v>
      </c>
      <c r="AG22" s="2" t="s">
        <v>1794</v>
      </c>
    </row>
    <row r="23" s="2" customFormat="1" ht="42" hidden="1" customHeight="1" spans="1:33">
      <c r="A23" s="35">
        <f t="shared" si="2"/>
        <v>20</v>
      </c>
      <c r="B23" s="35" t="s">
        <v>2902</v>
      </c>
      <c r="C23" s="35" t="s">
        <v>486</v>
      </c>
      <c r="D23" s="35" t="s">
        <v>4570</v>
      </c>
      <c r="E23" s="35" t="s">
        <v>4571</v>
      </c>
      <c r="F23" s="36">
        <v>46155</v>
      </c>
      <c r="G23" s="36">
        <v>46240</v>
      </c>
      <c r="H23" s="36">
        <v>46240</v>
      </c>
      <c r="I23" s="36">
        <v>46169</v>
      </c>
      <c r="J23" s="35">
        <f>SUBTOTAL(9,L23:P23)</f>
        <v>0</v>
      </c>
      <c r="K23" s="35">
        <v>10</v>
      </c>
      <c r="L23" s="37">
        <v>480</v>
      </c>
      <c r="M23" s="37">
        <v>480</v>
      </c>
      <c r="N23" s="37">
        <v>480</v>
      </c>
      <c r="O23" s="37">
        <v>480</v>
      </c>
      <c r="P23" s="37">
        <v>480</v>
      </c>
      <c r="Q23" s="35" t="s">
        <v>1600</v>
      </c>
      <c r="R23" s="45" t="s">
        <v>104</v>
      </c>
      <c r="S23" s="38" t="s">
        <v>4138</v>
      </c>
      <c r="T23" s="38" t="s">
        <v>4138</v>
      </c>
      <c r="U23" s="38" t="s">
        <v>4138</v>
      </c>
      <c r="V23" s="38" t="s">
        <v>1207</v>
      </c>
      <c r="W23" s="38"/>
      <c r="X23" s="35" t="s">
        <v>1227</v>
      </c>
      <c r="Y23" s="35" t="s">
        <v>1600</v>
      </c>
      <c r="Z23" s="37" t="s">
        <v>4569</v>
      </c>
      <c r="AA23" s="39">
        <v>46240</v>
      </c>
      <c r="AB23" s="39">
        <v>46239</v>
      </c>
      <c r="AC23" s="39"/>
      <c r="AD23" s="39">
        <v>46253</v>
      </c>
      <c r="AE23" s="35">
        <v>93654502</v>
      </c>
      <c r="AF23" s="2" t="s">
        <v>4564</v>
      </c>
      <c r="AG23" s="2" t="s">
        <v>1794</v>
      </c>
    </row>
    <row r="24" s="2" customFormat="1" ht="27" hidden="1" customHeight="1" spans="1:33">
      <c r="A24" s="35">
        <f t="shared" si="2"/>
        <v>21</v>
      </c>
      <c r="B24" s="35" t="s">
        <v>420</v>
      </c>
      <c r="C24" s="35" t="s">
        <v>421</v>
      </c>
      <c r="D24" s="35" t="s">
        <v>4292</v>
      </c>
      <c r="E24" s="35" t="s">
        <v>4293</v>
      </c>
      <c r="F24" s="36">
        <v>46148</v>
      </c>
      <c r="G24" s="36">
        <v>46243</v>
      </c>
      <c r="H24" s="36">
        <v>46243</v>
      </c>
      <c r="I24" s="36">
        <v>46212</v>
      </c>
      <c r="J24" s="35">
        <f>SUM(L24:P24)</f>
        <v>5000</v>
      </c>
      <c r="K24" s="35">
        <v>10</v>
      </c>
      <c r="L24" s="37">
        <v>1000</v>
      </c>
      <c r="M24" s="37">
        <v>1000</v>
      </c>
      <c r="N24" s="37">
        <v>1000</v>
      </c>
      <c r="O24" s="37">
        <v>1000</v>
      </c>
      <c r="P24" s="37">
        <v>1000</v>
      </c>
      <c r="Q24" s="35" t="s">
        <v>1600</v>
      </c>
      <c r="R24" s="45" t="s">
        <v>196</v>
      </c>
      <c r="S24" s="38" t="s">
        <v>4138</v>
      </c>
      <c r="T24" s="38" t="s">
        <v>4138</v>
      </c>
      <c r="U24" s="38" t="s">
        <v>4138</v>
      </c>
      <c r="V24" s="38" t="s">
        <v>1207</v>
      </c>
      <c r="W24" s="38" t="s">
        <v>84</v>
      </c>
      <c r="X24" s="35" t="s">
        <v>1227</v>
      </c>
      <c r="Y24" s="35" t="s">
        <v>1600</v>
      </c>
      <c r="Z24" s="35" t="s">
        <v>4221</v>
      </c>
      <c r="AA24" s="39">
        <v>46243</v>
      </c>
      <c r="AB24" s="39">
        <v>46246</v>
      </c>
      <c r="AC24" s="39"/>
      <c r="AD24" s="39">
        <v>46275</v>
      </c>
      <c r="AE24" s="35" t="s">
        <v>4294</v>
      </c>
      <c r="AF24" s="2" t="s">
        <v>4566</v>
      </c>
      <c r="AG24" s="2" t="s">
        <v>1794</v>
      </c>
    </row>
    <row r="25" s="2" customFormat="1" ht="27" hidden="1" customHeight="1" spans="1:33">
      <c r="A25" s="35">
        <f t="shared" si="2"/>
        <v>22</v>
      </c>
      <c r="B25" s="35" t="s">
        <v>420</v>
      </c>
      <c r="C25" s="35" t="s">
        <v>421</v>
      </c>
      <c r="D25" s="35" t="s">
        <v>4415</v>
      </c>
      <c r="E25" s="35" t="s">
        <v>4416</v>
      </c>
      <c r="F25" s="36">
        <v>46148</v>
      </c>
      <c r="G25" s="36">
        <v>46253</v>
      </c>
      <c r="H25" s="36">
        <v>46253</v>
      </c>
      <c r="I25" s="36">
        <v>46212</v>
      </c>
      <c r="J25" s="35">
        <f t="shared" ref="J25:J38" si="3">SUBTOTAL(9,L25:P25)</f>
        <v>0</v>
      </c>
      <c r="K25" s="35">
        <v>10</v>
      </c>
      <c r="L25" s="37">
        <v>1000</v>
      </c>
      <c r="M25" s="37">
        <v>1000</v>
      </c>
      <c r="N25" s="37">
        <v>1000</v>
      </c>
      <c r="O25" s="37">
        <v>1000</v>
      </c>
      <c r="P25" s="37">
        <v>1000</v>
      </c>
      <c r="Q25" s="35" t="s">
        <v>1600</v>
      </c>
      <c r="R25" s="45" t="s">
        <v>196</v>
      </c>
      <c r="S25" s="38" t="s">
        <v>4138</v>
      </c>
      <c r="T25" s="38" t="s">
        <v>4138</v>
      </c>
      <c r="U25" s="38" t="s">
        <v>4138</v>
      </c>
      <c r="V25" s="38" t="s">
        <v>1207</v>
      </c>
      <c r="W25" s="38" t="s">
        <v>84</v>
      </c>
      <c r="X25" s="35" t="s">
        <v>607</v>
      </c>
      <c r="Y25" s="35" t="s">
        <v>1600</v>
      </c>
      <c r="Z25" s="35" t="s">
        <v>4221</v>
      </c>
      <c r="AA25" s="39">
        <v>46253</v>
      </c>
      <c r="AB25" s="39">
        <v>46255</v>
      </c>
      <c r="AC25" s="39"/>
      <c r="AD25" s="39">
        <v>46275</v>
      </c>
      <c r="AE25" s="35" t="s">
        <v>4417</v>
      </c>
      <c r="AF25" s="2" t="s">
        <v>4566</v>
      </c>
      <c r="AG25" s="2" t="s">
        <v>4170</v>
      </c>
    </row>
    <row r="26" s="2" customFormat="1" ht="27" hidden="1" customHeight="1" spans="1:33">
      <c r="A26" s="123">
        <f t="shared" si="2"/>
        <v>23</v>
      </c>
      <c r="B26" s="123" t="s">
        <v>4339</v>
      </c>
      <c r="C26" s="123" t="s">
        <v>645</v>
      </c>
      <c r="D26" s="123" t="s">
        <v>4340</v>
      </c>
      <c r="E26" s="123"/>
      <c r="F26" s="124">
        <v>46157</v>
      </c>
      <c r="G26" s="124">
        <v>46248</v>
      </c>
      <c r="H26" s="124">
        <v>46248</v>
      </c>
      <c r="I26" s="124"/>
      <c r="J26" s="123">
        <f t="shared" si="3"/>
        <v>0</v>
      </c>
      <c r="K26" s="123">
        <v>10</v>
      </c>
      <c r="L26" s="125"/>
      <c r="M26" s="125"/>
      <c r="N26" s="125"/>
      <c r="O26" s="125"/>
      <c r="P26" s="125"/>
      <c r="Q26" s="123" t="s">
        <v>1600</v>
      </c>
      <c r="R26" s="143" t="s">
        <v>104</v>
      </c>
      <c r="S26" s="127" t="s">
        <v>4138</v>
      </c>
      <c r="T26" s="127" t="s">
        <v>4138</v>
      </c>
      <c r="U26" s="127" t="s">
        <v>4138</v>
      </c>
      <c r="V26" s="127" t="s">
        <v>1207</v>
      </c>
      <c r="W26" s="127" t="s">
        <v>84</v>
      </c>
      <c r="X26" s="123"/>
      <c r="Y26" s="123" t="s">
        <v>1600</v>
      </c>
      <c r="Z26" s="144" t="s">
        <v>4341</v>
      </c>
      <c r="AA26" s="130">
        <v>46276</v>
      </c>
      <c r="AB26" s="130"/>
      <c r="AC26" s="130"/>
      <c r="AD26" s="130" t="s">
        <v>266</v>
      </c>
      <c r="AE26" s="123"/>
      <c r="AF26" s="2" t="s">
        <v>4564</v>
      </c>
      <c r="AG26" s="2" t="s">
        <v>4170</v>
      </c>
    </row>
    <row r="27" s="2" customFormat="1" ht="33" customHeight="1" spans="1:33">
      <c r="A27" s="35">
        <f t="shared" si="2"/>
        <v>24</v>
      </c>
      <c r="B27" s="35" t="s">
        <v>420</v>
      </c>
      <c r="C27" s="35" t="s">
        <v>421</v>
      </c>
      <c r="D27" s="35" t="s">
        <v>4380</v>
      </c>
      <c r="E27" s="35" t="s">
        <v>4381</v>
      </c>
      <c r="F27" s="36">
        <v>46148</v>
      </c>
      <c r="G27" s="36">
        <v>46269</v>
      </c>
      <c r="H27" s="36">
        <v>46269</v>
      </c>
      <c r="I27" s="36">
        <v>46237</v>
      </c>
      <c r="J27" s="35">
        <f t="shared" si="3"/>
        <v>10000</v>
      </c>
      <c r="K27" s="35">
        <v>10</v>
      </c>
      <c r="L27" s="37">
        <v>2000</v>
      </c>
      <c r="M27" s="37">
        <v>2000</v>
      </c>
      <c r="N27" s="37">
        <v>2000</v>
      </c>
      <c r="O27" s="37">
        <v>2000</v>
      </c>
      <c r="P27" s="37">
        <v>2000</v>
      </c>
      <c r="Q27" s="35" t="s">
        <v>1444</v>
      </c>
      <c r="R27" s="45" t="s">
        <v>196</v>
      </c>
      <c r="S27" s="38" t="s">
        <v>4176</v>
      </c>
      <c r="T27" s="38" t="s">
        <v>4176</v>
      </c>
      <c r="U27" s="38" t="s">
        <v>4176</v>
      </c>
      <c r="V27" s="38" t="s">
        <v>1660</v>
      </c>
      <c r="W27" s="38" t="s">
        <v>84</v>
      </c>
      <c r="X27" s="38" t="s">
        <v>1660</v>
      </c>
      <c r="Y27" s="35" t="s">
        <v>1444</v>
      </c>
      <c r="Z27" s="35" t="s">
        <v>4221</v>
      </c>
      <c r="AA27" s="39">
        <v>46269</v>
      </c>
      <c r="AB27" s="39">
        <v>46268</v>
      </c>
      <c r="AC27" s="39"/>
      <c r="AD27" s="39"/>
      <c r="AE27" s="35" t="s">
        <v>4382</v>
      </c>
      <c r="AF27" s="2" t="s">
        <v>4566</v>
      </c>
      <c r="AG27" s="2" t="s">
        <v>4170</v>
      </c>
    </row>
    <row r="28" s="2" customFormat="1" ht="33" customHeight="1" spans="1:33">
      <c r="A28" s="60">
        <f t="shared" si="2"/>
        <v>25</v>
      </c>
      <c r="B28" s="60" t="s">
        <v>420</v>
      </c>
      <c r="C28" s="60" t="s">
        <v>421</v>
      </c>
      <c r="D28" s="60" t="s">
        <v>4383</v>
      </c>
      <c r="E28" s="60" t="s">
        <v>4384</v>
      </c>
      <c r="F28" s="61">
        <v>46148</v>
      </c>
      <c r="G28" s="61">
        <v>46283</v>
      </c>
      <c r="H28" s="61">
        <v>46283</v>
      </c>
      <c r="I28" s="61">
        <v>46237</v>
      </c>
      <c r="J28" s="60">
        <f t="shared" si="3"/>
        <v>7500</v>
      </c>
      <c r="K28" s="60">
        <v>10</v>
      </c>
      <c r="L28" s="83">
        <v>1500</v>
      </c>
      <c r="M28" s="83">
        <v>1500</v>
      </c>
      <c r="N28" s="83">
        <v>1500</v>
      </c>
      <c r="O28" s="83">
        <v>1500</v>
      </c>
      <c r="P28" s="83">
        <v>1500</v>
      </c>
      <c r="Q28" s="63" t="s">
        <v>1444</v>
      </c>
      <c r="R28" s="143" t="s">
        <v>196</v>
      </c>
      <c r="S28" s="65" t="s">
        <v>4176</v>
      </c>
      <c r="T28" s="65" t="s">
        <v>4176</v>
      </c>
      <c r="U28" s="65" t="s">
        <v>4176</v>
      </c>
      <c r="V28" s="65" t="s">
        <v>1660</v>
      </c>
      <c r="W28" s="65" t="s">
        <v>84</v>
      </c>
      <c r="X28" s="65" t="s">
        <v>1660</v>
      </c>
      <c r="Y28" s="60" t="s">
        <v>1444</v>
      </c>
      <c r="Z28" s="60" t="s">
        <v>4221</v>
      </c>
      <c r="AA28" s="67">
        <v>46283</v>
      </c>
      <c r="AB28" s="68"/>
      <c r="AC28" s="68"/>
      <c r="AD28" s="68"/>
      <c r="AE28" s="60" t="s">
        <v>4385</v>
      </c>
      <c r="AF28" s="2" t="s">
        <v>4566</v>
      </c>
      <c r="AG28" s="2" t="s">
        <v>4195</v>
      </c>
    </row>
    <row r="29" s="2" customFormat="1" ht="33" customHeight="1" spans="1:33">
      <c r="A29" s="60">
        <f t="shared" si="2"/>
        <v>26</v>
      </c>
      <c r="B29" s="60" t="s">
        <v>420</v>
      </c>
      <c r="C29" s="60" t="s">
        <v>421</v>
      </c>
      <c r="D29" s="60" t="s">
        <v>4386</v>
      </c>
      <c r="E29" s="60" t="s">
        <v>4387</v>
      </c>
      <c r="F29" s="61">
        <v>46148</v>
      </c>
      <c r="G29" s="61">
        <v>46289</v>
      </c>
      <c r="H29" s="61">
        <v>46289</v>
      </c>
      <c r="I29" s="61">
        <v>46237</v>
      </c>
      <c r="J29" s="60">
        <f t="shared" si="3"/>
        <v>5000</v>
      </c>
      <c r="K29" s="60">
        <v>10</v>
      </c>
      <c r="L29" s="83">
        <v>1000</v>
      </c>
      <c r="M29" s="83">
        <v>1000</v>
      </c>
      <c r="N29" s="83">
        <v>1000</v>
      </c>
      <c r="O29" s="83">
        <v>1000</v>
      </c>
      <c r="P29" s="83">
        <v>1000</v>
      </c>
      <c r="Q29" s="63" t="s">
        <v>1444</v>
      </c>
      <c r="R29" s="143" t="s">
        <v>196</v>
      </c>
      <c r="S29" s="65" t="s">
        <v>4176</v>
      </c>
      <c r="T29" s="65" t="s">
        <v>4176</v>
      </c>
      <c r="U29" s="65" t="s">
        <v>4176</v>
      </c>
      <c r="V29" s="65" t="s">
        <v>1660</v>
      </c>
      <c r="W29" s="65" t="s">
        <v>84</v>
      </c>
      <c r="X29" s="65" t="s">
        <v>1660</v>
      </c>
      <c r="Y29" s="60" t="s">
        <v>1444</v>
      </c>
      <c r="Z29" s="60" t="s">
        <v>4221</v>
      </c>
      <c r="AA29" s="67">
        <v>46289</v>
      </c>
      <c r="AB29" s="68"/>
      <c r="AC29" s="68"/>
      <c r="AD29" s="68"/>
      <c r="AE29" s="60" t="s">
        <v>4388</v>
      </c>
      <c r="AF29" s="2" t="s">
        <v>4566</v>
      </c>
      <c r="AG29" s="2" t="s">
        <v>4195</v>
      </c>
    </row>
    <row r="30" s="2" customFormat="1" ht="39" customHeight="1" spans="1:33">
      <c r="A30" s="60">
        <f t="shared" si="2"/>
        <v>27</v>
      </c>
      <c r="B30" s="66" t="s">
        <v>3063</v>
      </c>
      <c r="C30" s="60" t="s">
        <v>726</v>
      </c>
      <c r="D30" s="60" t="s">
        <v>4572</v>
      </c>
      <c r="E30" s="60" t="s">
        <v>4573</v>
      </c>
      <c r="F30" s="61">
        <v>46149</v>
      </c>
      <c r="G30" s="61">
        <v>46288</v>
      </c>
      <c r="H30" s="61">
        <v>46288</v>
      </c>
      <c r="I30" s="61">
        <v>46219</v>
      </c>
      <c r="J30" s="60">
        <f t="shared" si="3"/>
        <v>7500</v>
      </c>
      <c r="K30" s="60">
        <v>10</v>
      </c>
      <c r="L30" s="62">
        <v>1500</v>
      </c>
      <c r="M30" s="62">
        <v>1500</v>
      </c>
      <c r="N30" s="62">
        <v>1500</v>
      </c>
      <c r="O30" s="62">
        <v>1500</v>
      </c>
      <c r="P30" s="62">
        <v>1500</v>
      </c>
      <c r="Q30" s="63" t="s">
        <v>1600</v>
      </c>
      <c r="R30" s="143" t="s">
        <v>104</v>
      </c>
      <c r="S30" s="65" t="s">
        <v>4176</v>
      </c>
      <c r="T30" s="65" t="s">
        <v>4176</v>
      </c>
      <c r="U30" s="65" t="s">
        <v>4176</v>
      </c>
      <c r="V30" s="65" t="s">
        <v>1660</v>
      </c>
      <c r="W30" s="65" t="s">
        <v>84</v>
      </c>
      <c r="X30" s="60" t="s">
        <v>4420</v>
      </c>
      <c r="Y30" s="60" t="s">
        <v>1600</v>
      </c>
      <c r="Z30" s="60" t="s">
        <v>4421</v>
      </c>
      <c r="AA30" s="67">
        <v>46288</v>
      </c>
      <c r="AB30" s="145" t="s">
        <v>4422</v>
      </c>
      <c r="AC30" s="68"/>
      <c r="AD30" s="68"/>
      <c r="AE30" s="60">
        <v>354117</v>
      </c>
      <c r="AF30" s="2" t="s">
        <v>4574</v>
      </c>
      <c r="AG30" s="2" t="s">
        <v>4195</v>
      </c>
    </row>
    <row r="31" s="2" customFormat="1" ht="39" customHeight="1" spans="1:33">
      <c r="A31" s="60">
        <f t="shared" si="2"/>
        <v>28</v>
      </c>
      <c r="B31" s="66" t="s">
        <v>3461</v>
      </c>
      <c r="C31" s="60" t="s">
        <v>486</v>
      </c>
      <c r="D31" s="60" t="s">
        <v>4480</v>
      </c>
      <c r="E31" s="60" t="s">
        <v>4481</v>
      </c>
      <c r="F31" s="61">
        <v>46184</v>
      </c>
      <c r="G31" s="61">
        <v>46289</v>
      </c>
      <c r="H31" s="61">
        <v>46289</v>
      </c>
      <c r="I31" s="61">
        <v>46216</v>
      </c>
      <c r="J31" s="60">
        <f t="shared" si="3"/>
        <v>7500</v>
      </c>
      <c r="K31" s="60">
        <v>10</v>
      </c>
      <c r="L31" s="83">
        <v>1500</v>
      </c>
      <c r="M31" s="83">
        <v>1500</v>
      </c>
      <c r="N31" s="83">
        <v>1500</v>
      </c>
      <c r="O31" s="83">
        <v>1500</v>
      </c>
      <c r="P31" s="83">
        <v>1500</v>
      </c>
      <c r="Q31" s="63" t="s">
        <v>1600</v>
      </c>
      <c r="R31" s="143" t="s">
        <v>104</v>
      </c>
      <c r="S31" s="65" t="s">
        <v>4575</v>
      </c>
      <c r="T31" s="65" t="s">
        <v>4575</v>
      </c>
      <c r="U31" s="65" t="s">
        <v>4575</v>
      </c>
      <c r="V31" s="65" t="s">
        <v>4576</v>
      </c>
      <c r="W31" s="65" t="s">
        <v>84</v>
      </c>
      <c r="X31" s="60" t="s">
        <v>4180</v>
      </c>
      <c r="Y31" s="60" t="s">
        <v>1600</v>
      </c>
      <c r="Z31" s="66" t="s">
        <v>4250</v>
      </c>
      <c r="AA31" s="67">
        <v>46289</v>
      </c>
      <c r="AB31" s="68"/>
      <c r="AC31" s="68"/>
      <c r="AD31" s="68"/>
      <c r="AE31" s="60" t="s">
        <v>4482</v>
      </c>
      <c r="AF31" s="2" t="s">
        <v>4564</v>
      </c>
      <c r="AG31" s="2" t="s">
        <v>4195</v>
      </c>
    </row>
    <row r="32" s="2" customFormat="1" ht="33" customHeight="1" spans="1:33">
      <c r="A32" s="60">
        <f t="shared" si="2"/>
        <v>29</v>
      </c>
      <c r="B32" s="60" t="s">
        <v>440</v>
      </c>
      <c r="C32" s="60" t="s">
        <v>114</v>
      </c>
      <c r="D32" s="60" t="s">
        <v>4483</v>
      </c>
      <c r="E32" s="60" t="s">
        <v>4484</v>
      </c>
      <c r="F32" s="61">
        <v>46197</v>
      </c>
      <c r="G32" s="61">
        <v>46310</v>
      </c>
      <c r="H32" s="61">
        <v>46310</v>
      </c>
      <c r="I32" s="61">
        <v>46244</v>
      </c>
      <c r="J32" s="60">
        <f t="shared" si="3"/>
        <v>1990</v>
      </c>
      <c r="K32" s="60">
        <v>10</v>
      </c>
      <c r="L32" s="83">
        <v>398</v>
      </c>
      <c r="M32" s="83">
        <v>398</v>
      </c>
      <c r="N32" s="83">
        <v>398</v>
      </c>
      <c r="O32" s="83">
        <v>398</v>
      </c>
      <c r="P32" s="83">
        <v>398</v>
      </c>
      <c r="Q32" s="63" t="s">
        <v>1600</v>
      </c>
      <c r="R32" s="143" t="s">
        <v>104</v>
      </c>
      <c r="S32" s="65" t="s">
        <v>4176</v>
      </c>
      <c r="T32" s="65" t="s">
        <v>4176</v>
      </c>
      <c r="U32" s="65" t="s">
        <v>4176</v>
      </c>
      <c r="V32" s="65" t="s">
        <v>1660</v>
      </c>
      <c r="W32" s="65" t="s">
        <v>4485</v>
      </c>
      <c r="X32" s="60" t="s">
        <v>3658</v>
      </c>
      <c r="Y32" s="60" t="s">
        <v>1600</v>
      </c>
      <c r="Z32" s="60" t="s">
        <v>4486</v>
      </c>
      <c r="AA32" s="67">
        <v>46310</v>
      </c>
      <c r="AB32" s="145" t="s">
        <v>4487</v>
      </c>
      <c r="AC32" s="68"/>
      <c r="AD32" s="68"/>
      <c r="AE32" s="60" t="s">
        <v>4488</v>
      </c>
      <c r="AF32" s="2" t="s">
        <v>4577</v>
      </c>
      <c r="AG32" s="2" t="s">
        <v>4195</v>
      </c>
    </row>
    <row r="33" s="2" customFormat="1" ht="33" customHeight="1" spans="1:33">
      <c r="A33" s="60">
        <f t="shared" si="2"/>
        <v>30</v>
      </c>
      <c r="B33" s="60" t="s">
        <v>440</v>
      </c>
      <c r="C33" s="60" t="s">
        <v>114</v>
      </c>
      <c r="D33" s="60" t="s">
        <v>4483</v>
      </c>
      <c r="E33" s="60" t="s">
        <v>4484</v>
      </c>
      <c r="F33" s="61">
        <v>46197</v>
      </c>
      <c r="G33" s="61">
        <v>46310</v>
      </c>
      <c r="H33" s="61">
        <v>46310</v>
      </c>
      <c r="I33" s="61">
        <v>46244</v>
      </c>
      <c r="J33" s="60">
        <f t="shared" si="3"/>
        <v>1990</v>
      </c>
      <c r="K33" s="60">
        <v>10</v>
      </c>
      <c r="L33" s="83">
        <v>398</v>
      </c>
      <c r="M33" s="83">
        <v>398</v>
      </c>
      <c r="N33" s="83">
        <v>398</v>
      </c>
      <c r="O33" s="83">
        <v>398</v>
      </c>
      <c r="P33" s="83">
        <v>398</v>
      </c>
      <c r="Q33" s="63" t="s">
        <v>1600</v>
      </c>
      <c r="R33" s="143" t="s">
        <v>104</v>
      </c>
      <c r="S33" s="65" t="s">
        <v>4176</v>
      </c>
      <c r="T33" s="65" t="s">
        <v>4176</v>
      </c>
      <c r="U33" s="65" t="s">
        <v>4176</v>
      </c>
      <c r="V33" s="65" t="s">
        <v>1660</v>
      </c>
      <c r="W33" s="65" t="s">
        <v>4485</v>
      </c>
      <c r="X33" s="60" t="s">
        <v>3658</v>
      </c>
      <c r="Y33" s="60" t="s">
        <v>1600</v>
      </c>
      <c r="Z33" s="60" t="s">
        <v>4486</v>
      </c>
      <c r="AA33" s="67">
        <v>46310</v>
      </c>
      <c r="AB33" s="68"/>
      <c r="AC33" s="68"/>
      <c r="AD33" s="68"/>
      <c r="AE33" s="60" t="s">
        <v>4490</v>
      </c>
      <c r="AF33" s="2" t="s">
        <v>4577</v>
      </c>
      <c r="AG33" s="2" t="s">
        <v>4195</v>
      </c>
    </row>
    <row r="34" s="2" customFormat="1" ht="33" customHeight="1" spans="1:33">
      <c r="A34" s="60">
        <f t="shared" si="2"/>
        <v>31</v>
      </c>
      <c r="B34" s="84" t="s">
        <v>4578</v>
      </c>
      <c r="C34" s="84" t="s">
        <v>114</v>
      </c>
      <c r="D34" s="84" t="s">
        <v>4579</v>
      </c>
      <c r="E34" s="60" t="s">
        <v>4580</v>
      </c>
      <c r="F34" s="85">
        <v>46245</v>
      </c>
      <c r="G34" s="85">
        <v>46325</v>
      </c>
      <c r="H34" s="85">
        <v>46325</v>
      </c>
      <c r="I34" s="85">
        <v>46259</v>
      </c>
      <c r="J34" s="84">
        <f t="shared" si="3"/>
        <v>500</v>
      </c>
      <c r="K34" s="84">
        <v>10</v>
      </c>
      <c r="L34" s="83">
        <v>100</v>
      </c>
      <c r="M34" s="83">
        <v>100</v>
      </c>
      <c r="N34" s="83">
        <v>100</v>
      </c>
      <c r="O34" s="83">
        <v>100</v>
      </c>
      <c r="P34" s="83">
        <v>100</v>
      </c>
      <c r="Q34" s="63" t="s">
        <v>3869</v>
      </c>
      <c r="R34" s="143" t="s">
        <v>104</v>
      </c>
      <c r="S34" s="65" t="s">
        <v>2488</v>
      </c>
      <c r="T34" s="65" t="s">
        <v>2488</v>
      </c>
      <c r="U34" s="65" t="s">
        <v>2488</v>
      </c>
      <c r="V34" s="65" t="s">
        <v>2488</v>
      </c>
      <c r="W34" s="65" t="s">
        <v>4485</v>
      </c>
      <c r="X34" s="60"/>
      <c r="Y34" s="60" t="s">
        <v>3869</v>
      </c>
      <c r="Z34" s="60" t="s">
        <v>4486</v>
      </c>
      <c r="AA34" s="67">
        <v>46325</v>
      </c>
      <c r="AB34" s="68"/>
      <c r="AC34" s="68"/>
      <c r="AD34" s="68"/>
      <c r="AE34" s="60" t="s">
        <v>4581</v>
      </c>
      <c r="AF34" s="2" t="s">
        <v>4577</v>
      </c>
      <c r="AG34" s="2" t="s">
        <v>4499</v>
      </c>
    </row>
    <row r="35" s="2" customFormat="1" ht="33" customHeight="1" spans="1:33">
      <c r="A35" s="60">
        <f t="shared" si="2"/>
        <v>32</v>
      </c>
      <c r="B35" s="84" t="s">
        <v>4582</v>
      </c>
      <c r="C35" s="84" t="s">
        <v>114</v>
      </c>
      <c r="D35" s="84" t="s">
        <v>4500</v>
      </c>
      <c r="E35" s="60" t="s">
        <v>4501</v>
      </c>
      <c r="F35" s="85">
        <v>46245</v>
      </c>
      <c r="G35" s="85">
        <v>46325</v>
      </c>
      <c r="H35" s="85">
        <v>46325</v>
      </c>
      <c r="I35" s="85">
        <v>46259</v>
      </c>
      <c r="J35" s="84">
        <f t="shared" si="3"/>
        <v>2500</v>
      </c>
      <c r="K35" s="84">
        <v>10</v>
      </c>
      <c r="L35" s="83">
        <v>500</v>
      </c>
      <c r="M35" s="83">
        <v>500</v>
      </c>
      <c r="N35" s="83">
        <v>500</v>
      </c>
      <c r="O35" s="83">
        <v>500</v>
      </c>
      <c r="P35" s="83">
        <v>500</v>
      </c>
      <c r="Q35" s="63" t="s">
        <v>3869</v>
      </c>
      <c r="R35" s="143" t="s">
        <v>104</v>
      </c>
      <c r="S35" s="65" t="s">
        <v>2488</v>
      </c>
      <c r="T35" s="65" t="s">
        <v>2488</v>
      </c>
      <c r="U35" s="65" t="s">
        <v>2488</v>
      </c>
      <c r="V35" s="65" t="s">
        <v>2488</v>
      </c>
      <c r="W35" s="65" t="s">
        <v>4485</v>
      </c>
      <c r="X35" s="60"/>
      <c r="Y35" s="60" t="s">
        <v>3869</v>
      </c>
      <c r="Z35" s="60" t="s">
        <v>4486</v>
      </c>
      <c r="AA35" s="67">
        <v>46325</v>
      </c>
      <c r="AB35" s="68"/>
      <c r="AC35" s="68"/>
      <c r="AD35" s="68"/>
      <c r="AE35" s="60" t="s">
        <v>4583</v>
      </c>
      <c r="AF35" s="2" t="s">
        <v>4577</v>
      </c>
      <c r="AG35" s="2" t="s">
        <v>4499</v>
      </c>
    </row>
    <row r="36" s="2" customFormat="1" ht="33" customHeight="1" spans="1:33">
      <c r="A36" s="60">
        <f t="shared" si="2"/>
        <v>33</v>
      </c>
      <c r="B36" s="84" t="s">
        <v>4584</v>
      </c>
      <c r="C36" s="84" t="s">
        <v>114</v>
      </c>
      <c r="D36" s="84" t="s">
        <v>4585</v>
      </c>
      <c r="E36" s="60" t="s">
        <v>4586</v>
      </c>
      <c r="F36" s="85">
        <v>46245</v>
      </c>
      <c r="G36" s="85">
        <v>46325</v>
      </c>
      <c r="H36" s="85">
        <v>46325</v>
      </c>
      <c r="I36" s="85">
        <v>46259</v>
      </c>
      <c r="J36" s="84">
        <f t="shared" si="3"/>
        <v>500</v>
      </c>
      <c r="K36" s="84">
        <v>10</v>
      </c>
      <c r="L36" s="83">
        <v>100</v>
      </c>
      <c r="M36" s="83">
        <v>100</v>
      </c>
      <c r="N36" s="83">
        <v>100</v>
      </c>
      <c r="O36" s="83">
        <v>100</v>
      </c>
      <c r="P36" s="83">
        <v>100</v>
      </c>
      <c r="Q36" s="63" t="s">
        <v>3869</v>
      </c>
      <c r="R36" s="143" t="s">
        <v>104</v>
      </c>
      <c r="S36" s="65" t="s">
        <v>2488</v>
      </c>
      <c r="T36" s="65" t="s">
        <v>2488</v>
      </c>
      <c r="U36" s="65" t="s">
        <v>2488</v>
      </c>
      <c r="V36" s="65" t="s">
        <v>2488</v>
      </c>
      <c r="W36" s="65" t="s">
        <v>4485</v>
      </c>
      <c r="X36" s="60"/>
      <c r="Y36" s="60" t="s">
        <v>3869</v>
      </c>
      <c r="Z36" s="60" t="s">
        <v>4486</v>
      </c>
      <c r="AA36" s="67">
        <v>46325</v>
      </c>
      <c r="AB36" s="68"/>
      <c r="AC36" s="68"/>
      <c r="AD36" s="68"/>
      <c r="AE36" s="60" t="s">
        <v>4587</v>
      </c>
      <c r="AF36" s="2" t="s">
        <v>4577</v>
      </c>
      <c r="AG36" s="2" t="s">
        <v>4499</v>
      </c>
    </row>
    <row r="37" s="2" customFormat="1" ht="30" customHeight="1" spans="1:33">
      <c r="A37" s="60">
        <f t="shared" si="2"/>
        <v>34</v>
      </c>
      <c r="B37" s="84" t="s">
        <v>2890</v>
      </c>
      <c r="C37" s="84" t="s">
        <v>1674</v>
      </c>
      <c r="D37" s="84" t="s">
        <v>4506</v>
      </c>
      <c r="E37" s="60" t="s">
        <v>4507</v>
      </c>
      <c r="F37" s="85">
        <v>46252</v>
      </c>
      <c r="G37" s="85">
        <v>46315</v>
      </c>
      <c r="H37" s="85">
        <v>46339</v>
      </c>
      <c r="I37" s="85">
        <v>46275</v>
      </c>
      <c r="J37" s="84">
        <f t="shared" ref="J37:J41" si="4">SUBTOTAL(9,L37:P37)</f>
        <v>22500</v>
      </c>
      <c r="K37" s="84">
        <v>10</v>
      </c>
      <c r="L37" s="86">
        <v>4500</v>
      </c>
      <c r="M37" s="83">
        <v>4500</v>
      </c>
      <c r="N37" s="83">
        <v>4500</v>
      </c>
      <c r="O37" s="83">
        <v>4500</v>
      </c>
      <c r="P37" s="83">
        <v>4500</v>
      </c>
      <c r="Q37" s="63" t="s">
        <v>3869</v>
      </c>
      <c r="R37" s="143" t="s">
        <v>104</v>
      </c>
      <c r="S37" s="65" t="s">
        <v>2488</v>
      </c>
      <c r="T37" s="65" t="s">
        <v>2488</v>
      </c>
      <c r="U37" s="65" t="s">
        <v>2488</v>
      </c>
      <c r="V37" s="65" t="s">
        <v>2488</v>
      </c>
      <c r="W37" s="65" t="s">
        <v>84</v>
      </c>
      <c r="X37" s="60"/>
      <c r="Y37" s="60" t="s">
        <v>3869</v>
      </c>
      <c r="Z37" s="60" t="s">
        <v>4243</v>
      </c>
      <c r="AA37" s="67">
        <v>46339</v>
      </c>
      <c r="AB37" s="68"/>
      <c r="AC37" s="68"/>
      <c r="AD37" s="68"/>
      <c r="AE37" s="60">
        <v>2666989</v>
      </c>
      <c r="AF37" s="2" t="s">
        <v>4564</v>
      </c>
      <c r="AG37" s="2" t="s">
        <v>4508</v>
      </c>
    </row>
    <row r="38" s="2" customFormat="1" ht="27.75" customHeight="1" spans="1:33">
      <c r="A38" s="60">
        <f t="shared" si="2"/>
        <v>35</v>
      </c>
      <c r="B38" s="87" t="s">
        <v>3162</v>
      </c>
      <c r="C38" s="87" t="s">
        <v>360</v>
      </c>
      <c r="D38" s="88"/>
      <c r="E38" s="88"/>
      <c r="F38" s="89">
        <v>46261</v>
      </c>
      <c r="G38" s="89">
        <v>46331</v>
      </c>
      <c r="H38" s="89">
        <v>46331</v>
      </c>
      <c r="I38" s="89"/>
      <c r="J38" s="88">
        <f t="shared" si="4"/>
        <v>2500</v>
      </c>
      <c r="K38" s="88">
        <v>10</v>
      </c>
      <c r="L38" s="62">
        <v>500</v>
      </c>
      <c r="M38" s="62">
        <v>500</v>
      </c>
      <c r="N38" s="62">
        <v>500</v>
      </c>
      <c r="O38" s="62">
        <v>500</v>
      </c>
      <c r="P38" s="62">
        <v>500</v>
      </c>
      <c r="Q38" s="63" t="s">
        <v>3869</v>
      </c>
      <c r="R38" s="143" t="s">
        <v>104</v>
      </c>
      <c r="S38" s="65" t="s">
        <v>2488</v>
      </c>
      <c r="T38" s="65" t="s">
        <v>2488</v>
      </c>
      <c r="U38" s="65" t="s">
        <v>2488</v>
      </c>
      <c r="V38" s="65" t="s">
        <v>2488</v>
      </c>
      <c r="W38" s="65" t="s">
        <v>84</v>
      </c>
      <c r="X38" s="60"/>
      <c r="Y38" s="60" t="s">
        <v>3869</v>
      </c>
      <c r="Z38" s="66" t="s">
        <v>4250</v>
      </c>
      <c r="AA38" s="67">
        <v>46331</v>
      </c>
      <c r="AB38" s="68"/>
      <c r="AC38" s="68"/>
      <c r="AD38" s="69"/>
      <c r="AE38" s="60" t="s">
        <v>3165</v>
      </c>
      <c r="AF38" s="2" t="s">
        <v>4564</v>
      </c>
      <c r="AG38" s="2" t="s">
        <v>2397</v>
      </c>
    </row>
    <row r="39" s="2" customFormat="1" ht="27.75" customHeight="1" spans="1:33">
      <c r="A39" s="60">
        <f t="shared" si="2"/>
        <v>36</v>
      </c>
      <c r="B39" s="91" t="s">
        <v>420</v>
      </c>
      <c r="C39" s="91" t="s">
        <v>421</v>
      </c>
      <c r="D39" s="91" t="s">
        <v>4389</v>
      </c>
      <c r="E39" s="91"/>
      <c r="F39" s="92"/>
      <c r="G39" s="92"/>
      <c r="H39" s="92"/>
      <c r="I39" s="92"/>
      <c r="J39" s="91">
        <f t="shared" si="4"/>
        <v>6000</v>
      </c>
      <c r="K39" s="91">
        <v>10</v>
      </c>
      <c r="L39" s="62">
        <v>1200</v>
      </c>
      <c r="M39" s="62">
        <v>1200</v>
      </c>
      <c r="N39" s="62">
        <v>1200</v>
      </c>
      <c r="O39" s="62">
        <v>1200</v>
      </c>
      <c r="P39" s="62">
        <v>1200</v>
      </c>
      <c r="Q39" s="63"/>
      <c r="R39" s="143" t="s">
        <v>196</v>
      </c>
      <c r="S39" s="65"/>
      <c r="T39" s="65"/>
      <c r="U39" s="65"/>
      <c r="V39" s="65"/>
      <c r="W39" s="65"/>
      <c r="X39" s="60"/>
      <c r="Y39" s="60"/>
      <c r="Z39" s="60" t="s">
        <v>4221</v>
      </c>
      <c r="AA39" s="67"/>
      <c r="AB39" s="68"/>
      <c r="AC39" s="68"/>
      <c r="AD39" s="69"/>
      <c r="AE39" s="60" t="s">
        <v>4390</v>
      </c>
      <c r="AF39" s="2" t="s">
        <v>4566</v>
      </c>
    </row>
    <row r="40" s="2" customFormat="1" ht="27.75" customHeight="1" spans="1:33">
      <c r="A40" s="60">
        <f t="shared" si="2"/>
        <v>37</v>
      </c>
      <c r="B40" s="91" t="s">
        <v>420</v>
      </c>
      <c r="C40" s="91" t="s">
        <v>421</v>
      </c>
      <c r="D40" s="91" t="s">
        <v>4391</v>
      </c>
      <c r="E40" s="91"/>
      <c r="F40" s="92"/>
      <c r="G40" s="92"/>
      <c r="H40" s="92"/>
      <c r="I40" s="92"/>
      <c r="J40" s="91">
        <f t="shared" si="4"/>
        <v>7500</v>
      </c>
      <c r="K40" s="91">
        <v>10</v>
      </c>
      <c r="L40" s="62">
        <v>1500</v>
      </c>
      <c r="M40" s="62">
        <v>1500</v>
      </c>
      <c r="N40" s="62">
        <v>1500</v>
      </c>
      <c r="O40" s="62">
        <v>1500</v>
      </c>
      <c r="P40" s="62">
        <v>1500</v>
      </c>
      <c r="Q40" s="63"/>
      <c r="R40" s="143" t="s">
        <v>196</v>
      </c>
      <c r="S40" s="65"/>
      <c r="T40" s="65"/>
      <c r="U40" s="65"/>
      <c r="V40" s="65"/>
      <c r="W40" s="65"/>
      <c r="X40" s="60"/>
      <c r="Y40" s="60"/>
      <c r="Z40" s="60" t="s">
        <v>4221</v>
      </c>
      <c r="AA40" s="67"/>
      <c r="AB40" s="68"/>
      <c r="AC40" s="68"/>
      <c r="AD40" s="69"/>
      <c r="AE40" s="60" t="s">
        <v>4392</v>
      </c>
      <c r="AF40" s="2" t="s">
        <v>4566</v>
      </c>
    </row>
    <row r="41" s="2" customFormat="1" ht="27.75" customHeight="1" spans="1:33">
      <c r="A41" s="60">
        <f t="shared" si="2"/>
        <v>38</v>
      </c>
      <c r="B41" s="91" t="s">
        <v>420</v>
      </c>
      <c r="C41" s="91" t="s">
        <v>421</v>
      </c>
      <c r="D41" s="91" t="s">
        <v>4425</v>
      </c>
      <c r="E41" s="91"/>
      <c r="F41" s="92"/>
      <c r="G41" s="92"/>
      <c r="H41" s="92"/>
      <c r="I41" s="92"/>
      <c r="J41" s="91">
        <f t="shared" si="4"/>
        <v>4980</v>
      </c>
      <c r="K41" s="91">
        <v>10</v>
      </c>
      <c r="L41" s="62">
        <v>996</v>
      </c>
      <c r="M41" s="62">
        <v>996</v>
      </c>
      <c r="N41" s="62">
        <v>996</v>
      </c>
      <c r="O41" s="62">
        <v>996</v>
      </c>
      <c r="P41" s="62">
        <v>996</v>
      </c>
      <c r="Q41" s="63"/>
      <c r="R41" s="143" t="s">
        <v>196</v>
      </c>
      <c r="S41" s="65"/>
      <c r="T41" s="65"/>
      <c r="U41" s="65"/>
      <c r="V41" s="65"/>
      <c r="W41" s="65"/>
      <c r="X41" s="60"/>
      <c r="Y41" s="60"/>
      <c r="Z41" s="60" t="s">
        <v>4221</v>
      </c>
      <c r="AA41" s="67"/>
      <c r="AB41" s="68"/>
      <c r="AC41" s="68"/>
      <c r="AD41" s="69"/>
      <c r="AE41" s="60" t="s">
        <v>4426</v>
      </c>
      <c r="AF41" s="2" t="s">
        <v>4566</v>
      </c>
    </row>
    <row r="42" s="2" customFormat="1" ht="27.75" customHeight="1" spans="1:33">
      <c r="A42" s="60">
        <f t="shared" si="2"/>
        <v>39</v>
      </c>
      <c r="B42" s="86"/>
      <c r="C42" s="86"/>
      <c r="D42" s="84"/>
      <c r="E42" s="84"/>
      <c r="F42" s="85"/>
      <c r="G42" s="85"/>
      <c r="H42" s="85"/>
      <c r="I42" s="85"/>
      <c r="J42" s="84"/>
      <c r="K42" s="84"/>
      <c r="L42" s="62"/>
      <c r="M42" s="62"/>
      <c r="N42" s="62"/>
      <c r="O42" s="62"/>
      <c r="P42" s="62"/>
      <c r="Q42" s="63"/>
      <c r="R42" s="143"/>
      <c r="S42" s="65"/>
      <c r="T42" s="65"/>
      <c r="U42" s="65"/>
      <c r="V42" s="65"/>
      <c r="W42" s="65"/>
      <c r="X42" s="60"/>
      <c r="Y42" s="60"/>
      <c r="Z42" s="66"/>
      <c r="AA42" s="67"/>
      <c r="AB42" s="68"/>
      <c r="AC42" s="68"/>
      <c r="AD42" s="69"/>
      <c r="AE42" s="60"/>
    </row>
    <row r="43" s="2" customFormat="1" ht="30" customHeight="1" spans="1:33">
      <c r="A43" s="60">
        <f t="shared" si="2"/>
        <v>40</v>
      </c>
      <c r="B43" s="60"/>
      <c r="C43" s="60"/>
      <c r="D43" s="60"/>
      <c r="E43" s="60"/>
      <c r="F43" s="61"/>
      <c r="G43" s="61"/>
      <c r="H43" s="61"/>
      <c r="I43" s="61"/>
      <c r="J43" s="60"/>
      <c r="K43" s="60"/>
      <c r="L43" s="83"/>
      <c r="M43" s="83"/>
      <c r="N43" s="83"/>
      <c r="O43" s="83"/>
      <c r="P43" s="83"/>
      <c r="Q43" s="63"/>
      <c r="R43" s="143"/>
      <c r="S43" s="65"/>
      <c r="T43" s="65"/>
      <c r="U43" s="65"/>
      <c r="V43" s="65"/>
      <c r="W43" s="65"/>
      <c r="X43" s="60"/>
      <c r="Y43" s="60"/>
      <c r="Z43" s="60"/>
      <c r="AA43" s="67"/>
      <c r="AB43" s="68"/>
      <c r="AC43" s="68"/>
      <c r="AD43" s="68"/>
      <c r="AE43" s="60"/>
    </row>
    <row r="44" s="3" customFormat="1" ht="17.1" customHeight="1" spans="1:33">
      <c r="A44" s="94" t="s">
        <v>66</v>
      </c>
      <c r="B44" s="94"/>
      <c r="C44" s="94"/>
      <c r="D44" s="94"/>
      <c r="E44" s="94"/>
      <c r="F44" s="94"/>
      <c r="G44" s="94"/>
      <c r="H44" s="94"/>
      <c r="I44" s="94"/>
      <c r="J44" s="95">
        <f>SUM(J4:J43)</f>
        <v>131460</v>
      </c>
      <c r="K44" s="95"/>
      <c r="L44" s="95">
        <f>SUM(L4:L43)</f>
        <v>43172</v>
      </c>
      <c r="M44" s="95">
        <f>SUM(M4:M43)</f>
        <v>43172</v>
      </c>
      <c r="N44" s="95">
        <f>SUM(N4:N43)</f>
        <v>43172</v>
      </c>
      <c r="O44" s="95">
        <f>SUM(O4:O43)</f>
        <v>43172</v>
      </c>
      <c r="P44" s="95">
        <f>SUM(P4:P43)</f>
        <v>43172</v>
      </c>
      <c r="Q44" s="96"/>
      <c r="R44" s="146"/>
      <c r="S44" s="96"/>
      <c r="T44" s="96"/>
      <c r="U44" s="96"/>
      <c r="V44" s="96"/>
      <c r="W44" s="96"/>
      <c r="X44" s="96"/>
      <c r="Y44" s="96"/>
      <c r="Z44" s="97"/>
      <c r="AA44" s="97"/>
      <c r="AB44" s="97"/>
      <c r="AC44" s="97"/>
      <c r="AD44" s="97"/>
      <c r="AE44" s="96"/>
    </row>
    <row r="45" s="4" customFormat="1" ht="17.1" customHeight="1" spans="1:33">
      <c r="A45" s="100"/>
      <c r="B45" s="100"/>
      <c r="C45" s="100"/>
      <c r="D45" s="100"/>
      <c r="E45" s="100"/>
      <c r="F45" s="100"/>
      <c r="G45" s="100"/>
      <c r="H45" s="100"/>
      <c r="I45" s="100"/>
      <c r="J45" s="133">
        <f>SUM(L45:P45)</f>
        <v>197380</v>
      </c>
      <c r="K45" s="100"/>
      <c r="L45" s="147">
        <f t="shared" ref="L45:P45" si="5">5000+5000+500+3000+360+4420+1100+5100+3500+6296+200+4500+500</f>
        <v>39476</v>
      </c>
      <c r="M45" s="147">
        <f t="shared" si="5"/>
        <v>39476</v>
      </c>
      <c r="N45" s="147">
        <f t="shared" si="5"/>
        <v>39476</v>
      </c>
      <c r="O45" s="147">
        <f t="shared" si="5"/>
        <v>39476</v>
      </c>
      <c r="P45" s="147">
        <f t="shared" si="5"/>
        <v>39476</v>
      </c>
      <c r="Q45" s="100"/>
      <c r="R45" s="148"/>
      <c r="S45" s="100"/>
      <c r="T45" s="100"/>
      <c r="U45" s="100"/>
      <c r="V45" s="100"/>
      <c r="W45" s="100"/>
      <c r="X45" s="100"/>
      <c r="Y45" s="100"/>
      <c r="Z45" s="100"/>
      <c r="AA45" s="101"/>
      <c r="AB45" s="101"/>
      <c r="AC45" s="101"/>
      <c r="AD45" s="101"/>
      <c r="AE45" s="100"/>
    </row>
    <row r="46" s="4" customFormat="1" ht="17.1" customHeight="1" spans="1:33">
      <c r="A46" s="149" t="s">
        <v>67</v>
      </c>
      <c r="B46" s="149"/>
      <c r="C46" s="149"/>
      <c r="D46" s="149"/>
      <c r="E46" s="149"/>
      <c r="F46" s="149"/>
      <c r="G46" s="149"/>
      <c r="H46" s="149"/>
      <c r="I46" s="149"/>
      <c r="J46" s="150">
        <f>SUM(L46:P46)</f>
        <v>-18480</v>
      </c>
      <c r="K46" s="149"/>
      <c r="L46" s="151">
        <f>L45-L44</f>
        <v>-3696</v>
      </c>
      <c r="M46" s="151">
        <f>M45-M44</f>
        <v>-3696</v>
      </c>
      <c r="N46" s="151">
        <f>N45-N44</f>
        <v>-3696</v>
      </c>
      <c r="O46" s="151">
        <f>O45-O44</f>
        <v>-3696</v>
      </c>
      <c r="P46" s="151">
        <f>P45-P44</f>
        <v>-3696</v>
      </c>
      <c r="Q46" s="100"/>
      <c r="R46" s="148"/>
      <c r="S46" s="100"/>
      <c r="T46" s="100"/>
      <c r="U46" s="100"/>
      <c r="V46" s="100"/>
      <c r="W46" s="100"/>
      <c r="X46" s="100"/>
      <c r="Y46" s="100"/>
      <c r="Z46" s="100"/>
      <c r="AA46" s="101"/>
      <c r="AB46" s="101"/>
      <c r="AC46" s="101"/>
      <c r="AD46" s="101"/>
      <c r="AE46" s="100"/>
    </row>
    <row r="47" customFormat="1" spans="1:33">
      <c r="B47" s="110" t="s">
        <v>68</v>
      </c>
      <c r="C47" s="110"/>
      <c r="D47" s="111"/>
      <c r="E47" s="111"/>
      <c r="F47" s="112"/>
      <c r="G47" s="112"/>
      <c r="H47" s="112"/>
      <c r="I47" s="112"/>
      <c r="R47" s="152"/>
      <c r="AA47" s="113"/>
      <c r="AB47" s="113"/>
      <c r="AC47" s="113"/>
      <c r="AD47" s="114"/>
    </row>
  </sheetData>
  <autoFilter xmlns:etc="http://www.wps.cn/officeDocument/2017/etCustomData" ref="A3:AF47" etc:filterBottomFollowUsedRange="0">
    <filterColumn colId="29">
      <filters blank="1"/>
    </filterColumn>
    <extLst/>
  </autoFilter>
  <mergeCells count="33">
    <mergeCell ref="A1:AA1"/>
    <mergeCell ref="AB1:AC1"/>
    <mergeCell ref="AD1:AE1"/>
    <mergeCell ref="L2:P2"/>
    <mergeCell ref="A44:I44"/>
    <mergeCell ref="A45:I45"/>
    <mergeCell ref="A46:I46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</mergeCells>
  <conditionalFormatting sqref="L46:P46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747916666666667" header="0.313888888888889" footer="0.313888888888889"/>
  <pageSetup paperSize="9" scale="55" orientation="landscape"/>
  <headerFooter/>
  <legacy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  <pageSetUpPr fitToPage="1"/>
  </sheetPr>
  <dimension ref="A1:AF24"/>
  <sheetViews>
    <sheetView workbookViewId="0">
      <pane xSplit="11" ySplit="3" topLeftCell="L4" activePane="bottomRight" state="frozen"/>
      <selection/>
      <selection pane="topRight"/>
      <selection pane="bottomLeft"/>
      <selection pane="bottomRight" activeCell="V26" sqref="V26"/>
    </sheetView>
  </sheetViews>
  <sheetFormatPr defaultColWidth="9" defaultRowHeight="14.25"/>
  <cols>
    <col min="1" max="1" width="3.125" style="6" customWidth="1"/>
    <col min="2" max="2" width="9.5" style="6" customWidth="1"/>
    <col min="3" max="3" width="8.625" style="6" customWidth="1"/>
    <col min="4" max="5" width="12" style="6" customWidth="1"/>
    <col min="6" max="9" width="5.125" style="7" customWidth="1"/>
    <col min="10" max="10" width="8.375" style="6" customWidth="1"/>
    <col min="11" max="11" width="4.875" style="6" customWidth="1"/>
    <col min="12" max="16" width="6.625" style="6" customWidth="1"/>
    <col min="17" max="17" width="8.375" style="6" customWidth="1"/>
    <col min="18" max="21" width="5.375" style="6" customWidth="1"/>
    <col min="22" max="23" width="6" style="6" customWidth="1"/>
    <col min="24" max="24" width="7.875" style="6" customWidth="1"/>
    <col min="25" max="25" width="21.125" style="6" customWidth="1"/>
    <col min="26" max="26" width="8.375" style="8" customWidth="1"/>
    <col min="27" max="27" width="9.5" style="8" customWidth="1"/>
    <col min="28" max="28" width="9.875" style="8" customWidth="1"/>
    <col min="29" max="29" width="9" style="8" customWidth="1"/>
    <col min="30" max="30" width="18.625" style="6" customWidth="1"/>
    <col min="31" max="31" width="17.875" style="6" customWidth="1"/>
    <col min="32" max="16384" width="9" style="6"/>
  </cols>
  <sheetData>
    <row r="1" ht="35.1" customHeight="1" spans="1:32">
      <c r="A1" s="9" t="s">
        <v>4588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 t="s">
        <v>1</v>
      </c>
      <c r="AB1" s="11"/>
      <c r="AC1" s="12">
        <f ca="1">TODAY()</f>
        <v>46277</v>
      </c>
      <c r="AD1" s="13"/>
    </row>
    <row r="2" s="1" customFormat="1" ht="21.95" customHeight="1" spans="1:32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20" t="s">
        <v>15</v>
      </c>
      <c r="S2" s="21" t="s">
        <v>4020</v>
      </c>
      <c r="T2" s="22" t="s">
        <v>1082</v>
      </c>
      <c r="U2" s="22" t="s">
        <v>1081</v>
      </c>
      <c r="V2" s="23" t="s">
        <v>4021</v>
      </c>
      <c r="W2" s="21" t="s">
        <v>19</v>
      </c>
      <c r="X2" s="21" t="s">
        <v>20</v>
      </c>
      <c r="Y2" s="24" t="s">
        <v>21</v>
      </c>
      <c r="Z2" s="25" t="s">
        <v>22</v>
      </c>
      <c r="AA2" s="26" t="s">
        <v>23</v>
      </c>
      <c r="AB2" s="26" t="s">
        <v>24</v>
      </c>
      <c r="AC2" s="26" t="s">
        <v>25</v>
      </c>
      <c r="AD2" s="27" t="s">
        <v>26</v>
      </c>
    </row>
    <row r="3" s="1" customFormat="1" ht="31.5" customHeight="1" spans="1:32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4589</v>
      </c>
      <c r="M3" s="30" t="s">
        <v>4590</v>
      </c>
      <c r="N3" s="30" t="s">
        <v>4591</v>
      </c>
      <c r="O3" s="30" t="s">
        <v>4592</v>
      </c>
      <c r="P3" s="30" t="s">
        <v>4593</v>
      </c>
      <c r="Q3" s="19"/>
      <c r="R3" s="31"/>
      <c r="S3" s="21"/>
      <c r="T3" s="32"/>
      <c r="U3" s="32"/>
      <c r="V3" s="33"/>
      <c r="W3" s="21"/>
      <c r="X3" s="21"/>
      <c r="Y3" s="24"/>
      <c r="Z3" s="25"/>
      <c r="AA3" s="26"/>
      <c r="AB3" s="26"/>
      <c r="AC3" s="26"/>
      <c r="AD3" s="27"/>
    </row>
    <row r="4" s="120" customFormat="1" ht="36" hidden="1" customHeight="1" spans="1:32">
      <c r="A4" s="34">
        <f>ROW()-3</f>
        <v>1</v>
      </c>
      <c r="B4" s="35" t="s">
        <v>420</v>
      </c>
      <c r="C4" s="35" t="s">
        <v>421</v>
      </c>
      <c r="D4" s="35" t="s">
        <v>4594</v>
      </c>
      <c r="E4" s="35"/>
      <c r="F4" s="36">
        <v>45950</v>
      </c>
      <c r="G4" s="36">
        <v>46037</v>
      </c>
      <c r="H4" s="36">
        <v>46037</v>
      </c>
      <c r="I4" s="36">
        <v>45986</v>
      </c>
      <c r="J4" s="35">
        <f>SUM(L4:P4)</f>
        <v>4800</v>
      </c>
      <c r="K4" s="35">
        <v>10</v>
      </c>
      <c r="L4" s="37">
        <v>960</v>
      </c>
      <c r="M4" s="37">
        <v>960</v>
      </c>
      <c r="N4" s="37">
        <v>960</v>
      </c>
      <c r="O4" s="37">
        <v>960</v>
      </c>
      <c r="P4" s="37">
        <v>960</v>
      </c>
      <c r="Q4" s="35" t="s">
        <v>4440</v>
      </c>
      <c r="R4" s="35" t="s">
        <v>81</v>
      </c>
      <c r="S4" s="38" t="s">
        <v>4351</v>
      </c>
      <c r="T4" s="38" t="s">
        <v>4351</v>
      </c>
      <c r="U4" s="38" t="s">
        <v>4351</v>
      </c>
      <c r="V4" s="38" t="s">
        <v>4351</v>
      </c>
      <c r="W4" s="35" t="s">
        <v>905</v>
      </c>
      <c r="X4" s="35" t="s">
        <v>4440</v>
      </c>
      <c r="Y4" s="37" t="s">
        <v>4595</v>
      </c>
      <c r="Z4" s="44">
        <v>46035</v>
      </c>
      <c r="AA4" s="39">
        <v>46036</v>
      </c>
      <c r="AB4" s="39"/>
      <c r="AC4" s="44">
        <v>46055</v>
      </c>
      <c r="AD4" s="40" t="s">
        <v>4596</v>
      </c>
      <c r="AE4" s="121" t="s">
        <v>4597</v>
      </c>
    </row>
    <row r="5" s="2" customFormat="1" ht="27.75" hidden="1" customHeight="1" spans="1:32">
      <c r="A5" s="47">
        <f t="shared" ref="A5:A17" si="0">ROW()-3</f>
        <v>2</v>
      </c>
      <c r="B5" s="37" t="s">
        <v>420</v>
      </c>
      <c r="C5" s="37" t="s">
        <v>421</v>
      </c>
      <c r="D5" s="37" t="s">
        <v>4396</v>
      </c>
      <c r="E5" s="37" t="s">
        <v>4397</v>
      </c>
      <c r="F5" s="56">
        <v>46094</v>
      </c>
      <c r="G5" s="56">
        <v>46169</v>
      </c>
      <c r="H5" s="56">
        <v>46169</v>
      </c>
      <c r="I5" s="56">
        <v>46136</v>
      </c>
      <c r="J5" s="37">
        <f>SUBTOTAL(9,L5:P5)</f>
        <v>0</v>
      </c>
      <c r="K5" s="37">
        <v>10</v>
      </c>
      <c r="L5" s="37">
        <v>2000</v>
      </c>
      <c r="M5" s="37">
        <v>2000</v>
      </c>
      <c r="N5" s="37">
        <v>2000</v>
      </c>
      <c r="O5" s="37">
        <v>2000</v>
      </c>
      <c r="P5" s="37">
        <v>2000</v>
      </c>
      <c r="Q5" s="37" t="s">
        <v>2495</v>
      </c>
      <c r="R5" s="46" t="s">
        <v>196</v>
      </c>
      <c r="S5" s="37" t="s">
        <v>4083</v>
      </c>
      <c r="T5" s="37" t="s">
        <v>4083</v>
      </c>
      <c r="U5" s="37" t="s">
        <v>4083</v>
      </c>
      <c r="V5" s="54" t="s">
        <v>4084</v>
      </c>
      <c r="W5" s="54" t="s">
        <v>501</v>
      </c>
      <c r="X5" s="37" t="s">
        <v>2495</v>
      </c>
      <c r="Y5" s="37" t="s">
        <v>4221</v>
      </c>
      <c r="Z5" s="44">
        <v>46169</v>
      </c>
      <c r="AA5" s="44">
        <v>46171</v>
      </c>
      <c r="AB5" s="44"/>
      <c r="AC5" s="44">
        <v>46186</v>
      </c>
      <c r="AD5" s="55" t="s">
        <v>4398</v>
      </c>
      <c r="AE5" s="2" t="s">
        <v>4597</v>
      </c>
      <c r="AF5" s="2" t="s">
        <v>3235</v>
      </c>
    </row>
    <row r="6" s="2" customFormat="1" ht="27.75" hidden="1" customHeight="1" spans="1:32">
      <c r="A6" s="122">
        <f t="shared" si="0"/>
        <v>3</v>
      </c>
      <c r="B6" s="123" t="s">
        <v>2890</v>
      </c>
      <c r="C6" s="123" t="s">
        <v>1674</v>
      </c>
      <c r="D6" s="123" t="s">
        <v>4598</v>
      </c>
      <c r="E6" s="123" t="s">
        <v>4599</v>
      </c>
      <c r="F6" s="124">
        <v>46079</v>
      </c>
      <c r="G6" s="124">
        <v>46177</v>
      </c>
      <c r="H6" s="124">
        <v>46177</v>
      </c>
      <c r="I6" s="124">
        <v>46085</v>
      </c>
      <c r="J6" s="123">
        <f>SUBTOTAL(9,L6:P6)</f>
        <v>0</v>
      </c>
      <c r="K6" s="123">
        <v>10</v>
      </c>
      <c r="L6" s="125">
        <v>0</v>
      </c>
      <c r="M6" s="125">
        <v>0</v>
      </c>
      <c r="N6" s="125">
        <v>0</v>
      </c>
      <c r="O6" s="125">
        <v>0</v>
      </c>
      <c r="P6" s="125">
        <v>0</v>
      </c>
      <c r="Q6" s="123" t="s">
        <v>499</v>
      </c>
      <c r="R6" s="126" t="s">
        <v>104</v>
      </c>
      <c r="S6" s="127"/>
      <c r="T6" s="127"/>
      <c r="U6" s="127"/>
      <c r="V6" s="127"/>
      <c r="W6" s="123"/>
      <c r="X6" s="123" t="s">
        <v>499</v>
      </c>
      <c r="Y6" s="123" t="s">
        <v>4243</v>
      </c>
      <c r="Z6" s="128">
        <v>46177</v>
      </c>
      <c r="AA6" s="129"/>
      <c r="AB6" s="130"/>
      <c r="AC6" s="129" t="s">
        <v>640</v>
      </c>
      <c r="AD6" s="131">
        <v>2592517</v>
      </c>
      <c r="AE6" s="132" t="s">
        <v>4600</v>
      </c>
      <c r="AF6" s="2" t="s">
        <v>1607</v>
      </c>
    </row>
    <row r="7" s="2" customFormat="1" ht="27.75" hidden="1" customHeight="1" spans="1:32">
      <c r="A7" s="34">
        <f t="shared" si="0"/>
        <v>4</v>
      </c>
      <c r="B7" s="35" t="s">
        <v>2890</v>
      </c>
      <c r="C7" s="35" t="s">
        <v>1674</v>
      </c>
      <c r="D7" s="35" t="s">
        <v>4601</v>
      </c>
      <c r="E7" s="35" t="s">
        <v>4602</v>
      </c>
      <c r="F7" s="36">
        <v>46079</v>
      </c>
      <c r="G7" s="36">
        <v>46179</v>
      </c>
      <c r="H7" s="36">
        <v>46179</v>
      </c>
      <c r="I7" s="36">
        <v>46092</v>
      </c>
      <c r="J7" s="35">
        <f>SUBTOTAL(9,L7:P7)</f>
        <v>0</v>
      </c>
      <c r="K7" s="35">
        <v>10</v>
      </c>
      <c r="L7" s="37">
        <v>3982</v>
      </c>
      <c r="M7" s="37">
        <v>3982</v>
      </c>
      <c r="N7" s="37">
        <v>3982</v>
      </c>
      <c r="O7" s="37">
        <v>3982</v>
      </c>
      <c r="P7" s="37">
        <v>3982</v>
      </c>
      <c r="Q7" s="35" t="s">
        <v>499</v>
      </c>
      <c r="R7" s="45" t="s">
        <v>104</v>
      </c>
      <c r="S7" s="38" t="s">
        <v>501</v>
      </c>
      <c r="T7" s="38" t="s">
        <v>501</v>
      </c>
      <c r="U7" s="38" t="s">
        <v>501</v>
      </c>
      <c r="V7" s="38" t="s">
        <v>1184</v>
      </c>
      <c r="W7" s="35" t="s">
        <v>144</v>
      </c>
      <c r="X7" s="35" t="s">
        <v>499</v>
      </c>
      <c r="Y7" s="35" t="s">
        <v>4243</v>
      </c>
      <c r="Z7" s="44">
        <v>46179</v>
      </c>
      <c r="AA7" s="57">
        <v>46199</v>
      </c>
      <c r="AB7" s="39">
        <v>46212</v>
      </c>
      <c r="AC7" s="39">
        <v>46212</v>
      </c>
      <c r="AD7" s="40">
        <v>2592510</v>
      </c>
      <c r="AE7" s="132" t="s">
        <v>4600</v>
      </c>
      <c r="AF7" s="2" t="s">
        <v>1610</v>
      </c>
    </row>
    <row r="8" s="2" customFormat="1" ht="27.75" hidden="1" customHeight="1" spans="1:32">
      <c r="A8" s="34">
        <f t="shared" si="0"/>
        <v>5</v>
      </c>
      <c r="B8" s="35" t="s">
        <v>420</v>
      </c>
      <c r="C8" s="35" t="s">
        <v>421</v>
      </c>
      <c r="D8" s="37" t="s">
        <v>4230</v>
      </c>
      <c r="E8" s="35" t="s">
        <v>4231</v>
      </c>
      <c r="F8" s="36">
        <v>46113</v>
      </c>
      <c r="G8" s="36">
        <v>46183</v>
      </c>
      <c r="H8" s="36">
        <v>46183</v>
      </c>
      <c r="I8" s="36">
        <v>46136</v>
      </c>
      <c r="J8" s="35">
        <f>SUBTOTAL(9,L8:P8)</f>
        <v>0</v>
      </c>
      <c r="K8" s="35">
        <v>10</v>
      </c>
      <c r="L8" s="37">
        <v>360</v>
      </c>
      <c r="M8" s="37">
        <v>360</v>
      </c>
      <c r="N8" s="37">
        <v>360</v>
      </c>
      <c r="O8" s="37">
        <v>360</v>
      </c>
      <c r="P8" s="37">
        <v>360</v>
      </c>
      <c r="Q8" s="35" t="s">
        <v>499</v>
      </c>
      <c r="R8" s="45" t="s">
        <v>196</v>
      </c>
      <c r="S8" s="38" t="s">
        <v>501</v>
      </c>
      <c r="T8" s="38" t="s">
        <v>501</v>
      </c>
      <c r="U8" s="38" t="s">
        <v>501</v>
      </c>
      <c r="V8" s="38" t="s">
        <v>1184</v>
      </c>
      <c r="W8" s="35" t="s">
        <v>144</v>
      </c>
      <c r="X8" s="35" t="s">
        <v>499</v>
      </c>
      <c r="Y8" s="37" t="s">
        <v>4232</v>
      </c>
      <c r="Z8" s="44">
        <v>46183</v>
      </c>
      <c r="AA8" s="57">
        <v>46189</v>
      </c>
      <c r="AB8" s="39"/>
      <c r="AC8" s="39">
        <v>46196</v>
      </c>
      <c r="AD8" s="40" t="s">
        <v>4233</v>
      </c>
      <c r="AE8" s="132" t="s">
        <v>4597</v>
      </c>
      <c r="AF8" s="2" t="s">
        <v>2533</v>
      </c>
    </row>
    <row r="9" s="2" customFormat="1" ht="27.75" hidden="1" customHeight="1" spans="1:32">
      <c r="A9" s="34">
        <f t="shared" si="0"/>
        <v>6</v>
      </c>
      <c r="B9" s="35" t="s">
        <v>2890</v>
      </c>
      <c r="C9" s="35" t="s">
        <v>1674</v>
      </c>
      <c r="D9" s="37" t="s">
        <v>4603</v>
      </c>
      <c r="E9" s="35" t="s">
        <v>4604</v>
      </c>
      <c r="F9" s="36">
        <v>46041</v>
      </c>
      <c r="G9" s="36">
        <v>46184</v>
      </c>
      <c r="H9" s="36">
        <v>46184</v>
      </c>
      <c r="I9" s="36">
        <v>46085</v>
      </c>
      <c r="J9" s="35">
        <v>30000</v>
      </c>
      <c r="K9" s="35">
        <v>10</v>
      </c>
      <c r="L9" s="37">
        <v>6000</v>
      </c>
      <c r="M9" s="37">
        <v>6000</v>
      </c>
      <c r="N9" s="37">
        <v>6000</v>
      </c>
      <c r="O9" s="37">
        <v>6000</v>
      </c>
      <c r="P9" s="37">
        <v>6000</v>
      </c>
      <c r="Q9" s="35" t="s">
        <v>499</v>
      </c>
      <c r="R9" s="45" t="s">
        <v>104</v>
      </c>
      <c r="S9" s="38" t="s">
        <v>4199</v>
      </c>
      <c r="T9" s="38" t="s">
        <v>3735</v>
      </c>
      <c r="U9" s="38" t="s">
        <v>4199</v>
      </c>
      <c r="V9" s="38" t="s">
        <v>1184</v>
      </c>
      <c r="W9" s="35" t="s">
        <v>144</v>
      </c>
      <c r="X9" s="35" t="s">
        <v>499</v>
      </c>
      <c r="Y9" s="35" t="s">
        <v>4243</v>
      </c>
      <c r="Z9" s="44">
        <v>46184</v>
      </c>
      <c r="AA9" s="57">
        <v>46184</v>
      </c>
      <c r="AB9" s="39">
        <v>46185</v>
      </c>
      <c r="AC9" s="39" t="s">
        <v>4605</v>
      </c>
      <c r="AD9" s="40">
        <v>2586042</v>
      </c>
      <c r="AE9" s="41" t="s">
        <v>4600</v>
      </c>
      <c r="AF9" s="2" t="s">
        <v>1607</v>
      </c>
    </row>
    <row r="10" s="2" customFormat="1" ht="27.75" hidden="1" customHeight="1" spans="1:32">
      <c r="A10" s="34">
        <f t="shared" si="0"/>
        <v>7</v>
      </c>
      <c r="B10" s="35" t="s">
        <v>420</v>
      </c>
      <c r="C10" s="35" t="s">
        <v>421</v>
      </c>
      <c r="D10" s="37" t="s">
        <v>4234</v>
      </c>
      <c r="E10" s="35" t="s">
        <v>4235</v>
      </c>
      <c r="F10" s="36">
        <v>46113</v>
      </c>
      <c r="G10" s="36">
        <v>46192</v>
      </c>
      <c r="H10" s="36">
        <v>46192</v>
      </c>
      <c r="I10" s="36">
        <v>46136</v>
      </c>
      <c r="J10" s="35">
        <f>SUBTOTAL(9,L10:P10)</f>
        <v>0</v>
      </c>
      <c r="K10" s="35">
        <v>10</v>
      </c>
      <c r="L10" s="37">
        <v>2880</v>
      </c>
      <c r="M10" s="37">
        <v>2880</v>
      </c>
      <c r="N10" s="37">
        <v>2880</v>
      </c>
      <c r="O10" s="37">
        <v>2880</v>
      </c>
      <c r="P10" s="37">
        <v>2880</v>
      </c>
      <c r="Q10" s="35" t="s">
        <v>499</v>
      </c>
      <c r="R10" s="45" t="s">
        <v>196</v>
      </c>
      <c r="S10" s="38" t="s">
        <v>501</v>
      </c>
      <c r="T10" s="38" t="s">
        <v>501</v>
      </c>
      <c r="U10" s="38" t="s">
        <v>501</v>
      </c>
      <c r="V10" s="38" t="s">
        <v>1184</v>
      </c>
      <c r="W10" s="35" t="s">
        <v>144</v>
      </c>
      <c r="X10" s="35" t="s">
        <v>499</v>
      </c>
      <c r="Y10" s="37" t="s">
        <v>4210</v>
      </c>
      <c r="Z10" s="44">
        <v>46192</v>
      </c>
      <c r="AA10" s="39">
        <v>46211</v>
      </c>
      <c r="AB10" s="39"/>
      <c r="AC10" s="39">
        <v>46217</v>
      </c>
      <c r="AD10" s="40" t="s">
        <v>4236</v>
      </c>
      <c r="AE10" s="132" t="s">
        <v>4597</v>
      </c>
      <c r="AF10" s="2" t="s">
        <v>2533</v>
      </c>
    </row>
    <row r="11" s="2" customFormat="1" ht="27.75" hidden="1" customHeight="1" spans="1:32">
      <c r="A11" s="34">
        <f t="shared" si="0"/>
        <v>8</v>
      </c>
      <c r="B11" s="35" t="s">
        <v>4237</v>
      </c>
      <c r="C11" s="35" t="s">
        <v>114</v>
      </c>
      <c r="D11" s="37" t="s">
        <v>4238</v>
      </c>
      <c r="E11" s="35" t="s">
        <v>4239</v>
      </c>
      <c r="F11" s="36">
        <v>46101</v>
      </c>
      <c r="G11" s="36">
        <v>46197</v>
      </c>
      <c r="H11" s="36">
        <v>46197</v>
      </c>
      <c r="I11" s="36">
        <v>46135</v>
      </c>
      <c r="J11" s="35">
        <f>SUBTOTAL(9,L11:P11)</f>
        <v>0</v>
      </c>
      <c r="K11" s="35">
        <v>10</v>
      </c>
      <c r="L11" s="37">
        <v>600</v>
      </c>
      <c r="M11" s="37">
        <v>600</v>
      </c>
      <c r="N11" s="37">
        <v>600</v>
      </c>
      <c r="O11" s="37">
        <v>600</v>
      </c>
      <c r="P11" s="37">
        <v>600</v>
      </c>
      <c r="Q11" s="35" t="s">
        <v>1749</v>
      </c>
      <c r="R11" s="45" t="s">
        <v>104</v>
      </c>
      <c r="S11" s="38" t="s">
        <v>526</v>
      </c>
      <c r="T11" s="38" t="s">
        <v>526</v>
      </c>
      <c r="U11" s="38" t="s">
        <v>526</v>
      </c>
      <c r="V11" s="38" t="s">
        <v>1875</v>
      </c>
      <c r="W11" s="35" t="s">
        <v>526</v>
      </c>
      <c r="X11" s="35" t="s">
        <v>1749</v>
      </c>
      <c r="Y11" s="37" t="s">
        <v>4240</v>
      </c>
      <c r="Z11" s="39">
        <v>46197</v>
      </c>
      <c r="AA11" s="57">
        <v>46199</v>
      </c>
      <c r="AB11" s="39"/>
      <c r="AC11" s="39">
        <v>46218</v>
      </c>
      <c r="AD11" s="40">
        <v>4504222790</v>
      </c>
      <c r="AE11" s="41" t="s">
        <v>4600</v>
      </c>
      <c r="AF11" s="2" t="s">
        <v>2533</v>
      </c>
    </row>
    <row r="12" s="2" customFormat="1" ht="27.75" hidden="1" customHeight="1" spans="1:32">
      <c r="A12" s="34">
        <f t="shared" si="0"/>
        <v>9</v>
      </c>
      <c r="B12" s="35" t="s">
        <v>2890</v>
      </c>
      <c r="C12" s="35" t="s">
        <v>1674</v>
      </c>
      <c r="D12" s="35" t="s">
        <v>4606</v>
      </c>
      <c r="E12" s="35" t="s">
        <v>4607</v>
      </c>
      <c r="F12" s="36">
        <v>46079</v>
      </c>
      <c r="G12" s="36">
        <v>46207</v>
      </c>
      <c r="H12" s="36">
        <v>46207</v>
      </c>
      <c r="I12" s="36">
        <v>46085</v>
      </c>
      <c r="J12" s="35">
        <f>SUBTOTAL(9,L12:P12)</f>
        <v>0</v>
      </c>
      <c r="K12" s="35">
        <v>10</v>
      </c>
      <c r="L12" s="37">
        <v>3318</v>
      </c>
      <c r="M12" s="37">
        <v>3318</v>
      </c>
      <c r="N12" s="37">
        <v>3318</v>
      </c>
      <c r="O12" s="37">
        <v>3318</v>
      </c>
      <c r="P12" s="37">
        <v>3318</v>
      </c>
      <c r="Q12" s="35" t="s">
        <v>1749</v>
      </c>
      <c r="R12" s="45" t="s">
        <v>104</v>
      </c>
      <c r="S12" s="38" t="s">
        <v>526</v>
      </c>
      <c r="T12" s="38" t="s">
        <v>526</v>
      </c>
      <c r="U12" s="38" t="s">
        <v>526</v>
      </c>
      <c r="V12" s="38" t="s">
        <v>1875</v>
      </c>
      <c r="W12" s="35" t="s">
        <v>390</v>
      </c>
      <c r="X12" s="35" t="s">
        <v>1749</v>
      </c>
      <c r="Y12" s="35" t="s">
        <v>4243</v>
      </c>
      <c r="Z12" s="44">
        <v>46207</v>
      </c>
      <c r="AA12" s="57">
        <v>46217</v>
      </c>
      <c r="AB12" s="39">
        <v>46218</v>
      </c>
      <c r="AC12" s="39">
        <v>46233</v>
      </c>
      <c r="AD12" s="40">
        <v>2592520</v>
      </c>
      <c r="AE12" s="132" t="s">
        <v>4600</v>
      </c>
      <c r="AF12" s="2" t="s">
        <v>1607</v>
      </c>
    </row>
    <row r="13" s="2" customFormat="1" ht="27.75" hidden="1" customHeight="1" spans="1:32">
      <c r="A13" s="34">
        <f t="shared" si="0"/>
        <v>10</v>
      </c>
      <c r="B13" s="35" t="s">
        <v>2890</v>
      </c>
      <c r="C13" s="35" t="s">
        <v>1674</v>
      </c>
      <c r="D13" s="35" t="s">
        <v>4608</v>
      </c>
      <c r="E13" s="35" t="s">
        <v>4609</v>
      </c>
      <c r="F13" s="36">
        <v>46079</v>
      </c>
      <c r="G13" s="36">
        <v>46228</v>
      </c>
      <c r="H13" s="36">
        <v>46228</v>
      </c>
      <c r="I13" s="36">
        <v>46085</v>
      </c>
      <c r="J13" s="35">
        <f>SUBTOTAL(9,L13:P13)</f>
        <v>0</v>
      </c>
      <c r="K13" s="35">
        <v>10</v>
      </c>
      <c r="L13" s="37">
        <v>3998</v>
      </c>
      <c r="M13" s="37">
        <v>3998</v>
      </c>
      <c r="N13" s="37">
        <v>3998</v>
      </c>
      <c r="O13" s="37">
        <v>3998</v>
      </c>
      <c r="P13" s="37">
        <v>3998</v>
      </c>
      <c r="Q13" s="35" t="s">
        <v>554</v>
      </c>
      <c r="R13" s="45" t="s">
        <v>104</v>
      </c>
      <c r="S13" s="38" t="s">
        <v>1750</v>
      </c>
      <c r="T13" s="38" t="s">
        <v>1750</v>
      </c>
      <c r="U13" s="38" t="s">
        <v>1750</v>
      </c>
      <c r="V13" s="38" t="s">
        <v>4128</v>
      </c>
      <c r="W13" s="35" t="s">
        <v>933</v>
      </c>
      <c r="X13" s="35" t="s">
        <v>554</v>
      </c>
      <c r="Y13" s="35" t="s">
        <v>4243</v>
      </c>
      <c r="Z13" s="44">
        <v>46228</v>
      </c>
      <c r="AA13" s="39">
        <v>46238</v>
      </c>
      <c r="AB13" s="58">
        <v>46239</v>
      </c>
      <c r="AC13" s="39">
        <v>46259</v>
      </c>
      <c r="AD13" s="40">
        <v>2592524</v>
      </c>
      <c r="AE13" s="132" t="s">
        <v>4600</v>
      </c>
      <c r="AF13" s="2" t="s">
        <v>1607</v>
      </c>
    </row>
    <row r="14" s="2" customFormat="1" ht="27.75" hidden="1" customHeight="1" spans="1:32">
      <c r="A14" s="34">
        <f t="shared" si="0"/>
        <v>11</v>
      </c>
      <c r="B14" s="35" t="s">
        <v>420</v>
      </c>
      <c r="C14" s="35" t="s">
        <v>421</v>
      </c>
      <c r="D14" s="35" t="s">
        <v>4412</v>
      </c>
      <c r="E14" s="35" t="s">
        <v>4413</v>
      </c>
      <c r="F14" s="36">
        <v>46148</v>
      </c>
      <c r="G14" s="36">
        <v>46226</v>
      </c>
      <c r="H14" s="36">
        <v>46226</v>
      </c>
      <c r="I14" s="36">
        <v>46185</v>
      </c>
      <c r="J14" s="35">
        <f>SUBTOTAL(9,L14:P14)</f>
        <v>0</v>
      </c>
      <c r="K14" s="35">
        <v>10</v>
      </c>
      <c r="L14" s="37">
        <v>1000</v>
      </c>
      <c r="M14" s="37">
        <v>1000</v>
      </c>
      <c r="N14" s="37">
        <v>1000</v>
      </c>
      <c r="O14" s="37">
        <v>1000</v>
      </c>
      <c r="P14" s="37">
        <v>1000</v>
      </c>
      <c r="Q14" s="35" t="s">
        <v>554</v>
      </c>
      <c r="R14" s="45" t="s">
        <v>196</v>
      </c>
      <c r="S14" s="38" t="s">
        <v>4410</v>
      </c>
      <c r="T14" s="38" t="s">
        <v>4410</v>
      </c>
      <c r="U14" s="38" t="s">
        <v>4410</v>
      </c>
      <c r="V14" s="38" t="s">
        <v>1207</v>
      </c>
      <c r="W14" s="35" t="s">
        <v>4410</v>
      </c>
      <c r="X14" s="35" t="s">
        <v>554</v>
      </c>
      <c r="Y14" s="35" t="s">
        <v>4221</v>
      </c>
      <c r="Z14" s="44">
        <v>46226</v>
      </c>
      <c r="AA14" s="44">
        <v>46238</v>
      </c>
      <c r="AB14" s="39"/>
      <c r="AC14" s="39">
        <v>46249</v>
      </c>
      <c r="AD14" s="40" t="s">
        <v>4414</v>
      </c>
      <c r="AE14" s="132" t="s">
        <v>4597</v>
      </c>
      <c r="AF14" s="2" t="s">
        <v>1782</v>
      </c>
    </row>
    <row r="15" s="2" customFormat="1" ht="27" hidden="1" customHeight="1" spans="1:32">
      <c r="A15" s="34">
        <f t="shared" si="0"/>
        <v>12</v>
      </c>
      <c r="B15" s="35" t="s">
        <v>420</v>
      </c>
      <c r="C15" s="35" t="s">
        <v>421</v>
      </c>
      <c r="D15" s="35" t="s">
        <v>4292</v>
      </c>
      <c r="E15" s="35" t="s">
        <v>4293</v>
      </c>
      <c r="F15" s="36">
        <v>46148</v>
      </c>
      <c r="G15" s="36">
        <v>46243</v>
      </c>
      <c r="H15" s="36">
        <v>46243</v>
      </c>
      <c r="I15" s="36">
        <v>46212</v>
      </c>
      <c r="J15" s="35">
        <f>SUM(L15:P15)</f>
        <v>5000</v>
      </c>
      <c r="K15" s="35">
        <v>10</v>
      </c>
      <c r="L15" s="37">
        <v>1000</v>
      </c>
      <c r="M15" s="37">
        <v>1000</v>
      </c>
      <c r="N15" s="37">
        <v>1000</v>
      </c>
      <c r="O15" s="37">
        <v>1000</v>
      </c>
      <c r="P15" s="37">
        <v>1000</v>
      </c>
      <c r="Q15" s="35" t="s">
        <v>1600</v>
      </c>
      <c r="R15" s="45" t="s">
        <v>196</v>
      </c>
      <c r="S15" s="38" t="s">
        <v>4138</v>
      </c>
      <c r="T15" s="38" t="s">
        <v>4138</v>
      </c>
      <c r="U15" s="38" t="s">
        <v>4138</v>
      </c>
      <c r="V15" s="38" t="s">
        <v>1207</v>
      </c>
      <c r="W15" s="35" t="s">
        <v>1227</v>
      </c>
      <c r="X15" s="35" t="s">
        <v>1600</v>
      </c>
      <c r="Y15" s="35" t="s">
        <v>4221</v>
      </c>
      <c r="Z15" s="39">
        <v>46243</v>
      </c>
      <c r="AA15" s="39">
        <v>46246</v>
      </c>
      <c r="AB15" s="39"/>
      <c r="AC15" s="39">
        <v>46275</v>
      </c>
      <c r="AD15" s="40" t="s">
        <v>4294</v>
      </c>
      <c r="AE15" s="2" t="s">
        <v>4597</v>
      </c>
      <c r="AF15" s="2" t="s">
        <v>1782</v>
      </c>
    </row>
    <row r="16" s="2" customFormat="1" ht="27.75" customHeight="1" spans="1:32">
      <c r="A16" s="34">
        <f t="shared" si="0"/>
        <v>13</v>
      </c>
      <c r="B16" s="35" t="s">
        <v>2890</v>
      </c>
      <c r="C16" s="35" t="s">
        <v>1674</v>
      </c>
      <c r="D16" s="35" t="s">
        <v>4610</v>
      </c>
      <c r="E16" s="35" t="s">
        <v>4611</v>
      </c>
      <c r="F16" s="36">
        <v>46079</v>
      </c>
      <c r="G16" s="36">
        <v>46262</v>
      </c>
      <c r="H16" s="36">
        <v>46262</v>
      </c>
      <c r="I16" s="36">
        <v>46085</v>
      </c>
      <c r="J16" s="35">
        <f>SUBTOTAL(9,L16:P16)</f>
        <v>25110</v>
      </c>
      <c r="K16" s="35">
        <v>10</v>
      </c>
      <c r="L16" s="37">
        <v>5022</v>
      </c>
      <c r="M16" s="37">
        <v>5022</v>
      </c>
      <c r="N16" s="37">
        <v>5022</v>
      </c>
      <c r="O16" s="37">
        <v>5022</v>
      </c>
      <c r="P16" s="37">
        <v>5022</v>
      </c>
      <c r="Q16" s="35" t="s">
        <v>1600</v>
      </c>
      <c r="R16" s="45" t="s">
        <v>104</v>
      </c>
      <c r="S16" s="38" t="s">
        <v>4138</v>
      </c>
      <c r="T16" s="38" t="s">
        <v>4138</v>
      </c>
      <c r="U16" s="38" t="s">
        <v>4138</v>
      </c>
      <c r="V16" s="38" t="s">
        <v>1207</v>
      </c>
      <c r="W16" s="35" t="s">
        <v>1208</v>
      </c>
      <c r="X16" s="35" t="s">
        <v>1600</v>
      </c>
      <c r="Y16" s="35" t="s">
        <v>4243</v>
      </c>
      <c r="Z16" s="44">
        <v>46262</v>
      </c>
      <c r="AA16" s="39">
        <v>46274</v>
      </c>
      <c r="AB16" s="39" t="s">
        <v>4277</v>
      </c>
      <c r="AC16" s="39"/>
      <c r="AD16" s="40">
        <v>2592438</v>
      </c>
      <c r="AE16" s="132" t="s">
        <v>4600</v>
      </c>
      <c r="AF16" s="2" t="s">
        <v>1607</v>
      </c>
    </row>
    <row r="17" s="2" customFormat="1" ht="30" customHeight="1" spans="1:30">
      <c r="A17" s="59">
        <v>14</v>
      </c>
      <c r="B17" s="60"/>
      <c r="C17" s="60"/>
      <c r="D17" s="60"/>
      <c r="E17" s="60"/>
      <c r="F17" s="61"/>
      <c r="G17" s="61"/>
      <c r="H17" s="61"/>
      <c r="I17" s="61"/>
      <c r="J17" s="60"/>
      <c r="K17" s="60"/>
      <c r="L17" s="62"/>
      <c r="M17" s="62"/>
      <c r="N17" s="62"/>
      <c r="O17" s="62"/>
      <c r="P17" s="62"/>
      <c r="Q17" s="63"/>
      <c r="R17" s="63"/>
      <c r="S17" s="60"/>
      <c r="T17" s="60"/>
      <c r="U17" s="60"/>
      <c r="V17" s="65"/>
      <c r="W17" s="60"/>
      <c r="X17" s="60"/>
      <c r="Y17" s="60"/>
      <c r="Z17" s="68"/>
      <c r="AA17" s="68"/>
      <c r="AB17" s="68"/>
      <c r="AC17" s="68"/>
      <c r="AD17" s="70"/>
    </row>
    <row r="18" s="3" customFormat="1" ht="17.1" customHeight="1" spans="1:30">
      <c r="A18" s="93" t="s">
        <v>66</v>
      </c>
      <c r="B18" s="94"/>
      <c r="C18" s="94"/>
      <c r="D18" s="94"/>
      <c r="E18" s="94"/>
      <c r="F18" s="94"/>
      <c r="G18" s="94"/>
      <c r="H18" s="94"/>
      <c r="I18" s="94"/>
      <c r="J18" s="95">
        <f>SUM(J4:J17)</f>
        <v>64910</v>
      </c>
      <c r="K18" s="95"/>
      <c r="L18" s="95">
        <f>SUM(L4:L17)</f>
        <v>31120</v>
      </c>
      <c r="M18" s="95">
        <f>SUM(M4:M17)</f>
        <v>31120</v>
      </c>
      <c r="N18" s="95">
        <f>SUM(N4:N17)</f>
        <v>31120</v>
      </c>
      <c r="O18" s="95">
        <f>SUM(O4:O17)</f>
        <v>31120</v>
      </c>
      <c r="P18" s="95">
        <f>SUM(P4:P17)</f>
        <v>31120</v>
      </c>
      <c r="Q18" s="96"/>
      <c r="R18" s="96"/>
      <c r="S18" s="96"/>
      <c r="T18" s="96"/>
      <c r="U18" s="96"/>
      <c r="V18" s="96"/>
      <c r="W18" s="96"/>
      <c r="X18" s="96"/>
      <c r="Y18" s="97"/>
      <c r="Z18" s="97"/>
      <c r="AA18" s="97"/>
      <c r="AB18" s="97"/>
      <c r="AC18" s="97"/>
      <c r="AD18" s="98"/>
    </row>
    <row r="19" s="4" customFormat="1" ht="17.1" customHeight="1" spans="1:30">
      <c r="A19" s="99"/>
      <c r="B19" s="100"/>
      <c r="C19" s="100"/>
      <c r="D19" s="100"/>
      <c r="E19" s="100"/>
      <c r="F19" s="100"/>
      <c r="G19" s="100"/>
      <c r="H19" s="100"/>
      <c r="I19" s="100"/>
      <c r="J19" s="133">
        <f>SUM(L19:P19)</f>
        <v>155600</v>
      </c>
      <c r="K19" s="100"/>
      <c r="L19" s="134">
        <f t="shared" ref="L19:P19" si="1">3000+19362+1878+2000+2880+2000</f>
        <v>31120</v>
      </c>
      <c r="M19" s="134">
        <f t="shared" si="1"/>
        <v>31120</v>
      </c>
      <c r="N19" s="134">
        <f t="shared" si="1"/>
        <v>31120</v>
      </c>
      <c r="O19" s="134">
        <f t="shared" si="1"/>
        <v>31120</v>
      </c>
      <c r="P19" s="134">
        <f t="shared" si="1"/>
        <v>31120</v>
      </c>
      <c r="Q19" s="100"/>
      <c r="R19" s="100"/>
      <c r="S19" s="100"/>
      <c r="T19" s="100"/>
      <c r="U19" s="100"/>
      <c r="V19" s="100"/>
      <c r="W19" s="100"/>
      <c r="X19" s="100"/>
      <c r="Y19" s="100"/>
      <c r="Z19" s="101"/>
      <c r="AA19" s="101"/>
      <c r="AB19" s="101"/>
      <c r="AC19" s="101"/>
      <c r="AD19" s="102"/>
    </row>
    <row r="20" s="4" customFormat="1" ht="17.1" customHeight="1" spans="1:30">
      <c r="A20" s="103" t="s">
        <v>67</v>
      </c>
      <c r="B20" s="104"/>
      <c r="C20" s="104"/>
      <c r="D20" s="104"/>
      <c r="E20" s="104"/>
      <c r="F20" s="104"/>
      <c r="G20" s="104"/>
      <c r="H20" s="104"/>
      <c r="I20" s="104"/>
      <c r="J20" s="105">
        <f>SUM(L20:P20)</f>
        <v>0</v>
      </c>
      <c r="K20" s="104"/>
      <c r="L20" s="106">
        <f>L19-L18</f>
        <v>0</v>
      </c>
      <c r="M20" s="106">
        <f>M19-M18</f>
        <v>0</v>
      </c>
      <c r="N20" s="106">
        <f>N19-N18</f>
        <v>0</v>
      </c>
      <c r="O20" s="106">
        <f>O19-O18</f>
        <v>0</v>
      </c>
      <c r="P20" s="106">
        <f>P19-P18</f>
        <v>0</v>
      </c>
      <c r="Q20" s="107"/>
      <c r="R20" s="107"/>
      <c r="S20" s="107"/>
      <c r="T20" s="107"/>
      <c r="U20" s="107"/>
      <c r="V20" s="107"/>
      <c r="W20" s="107"/>
      <c r="X20" s="107"/>
      <c r="Y20" s="107"/>
      <c r="Z20" s="108"/>
      <c r="AA20" s="108"/>
      <c r="AB20" s="108"/>
      <c r="AC20" s="108"/>
      <c r="AD20" s="109"/>
    </row>
    <row r="21" customFormat="1" spans="1:30">
      <c r="B21" s="110" t="s">
        <v>68</v>
      </c>
      <c r="C21" s="110"/>
      <c r="D21" s="111"/>
      <c r="E21" s="111"/>
      <c r="F21" s="112"/>
      <c r="G21" s="112"/>
      <c r="H21" s="112"/>
      <c r="I21" s="112"/>
      <c r="Z21" s="113"/>
      <c r="AA21" s="113"/>
      <c r="AB21" s="113"/>
      <c r="AC21" s="114"/>
    </row>
    <row r="24" ht="39" customHeight="1" spans="1:30">
      <c r="B24" s="135" t="s">
        <v>4282</v>
      </c>
    </row>
  </sheetData>
  <autoFilter xmlns:etc="http://www.wps.cn/officeDocument/2017/etCustomData" ref="A3:AF24" etc:filterBottomFollowUsedRange="0">
    <filterColumn colId="28">
      <filters blank="1"/>
    </filterColumn>
    <extLst/>
  </autoFilter>
  <mergeCells count="32">
    <mergeCell ref="A1:Z1"/>
    <mergeCell ref="AA1:AB1"/>
    <mergeCell ref="AC1:AD1"/>
    <mergeCell ref="L2:P2"/>
    <mergeCell ref="A18:I18"/>
    <mergeCell ref="A19:I19"/>
    <mergeCell ref="A20:I20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L20:P20">
    <cfRule type="cellIs" dxfId="0" priority="1" operator="lessThan">
      <formula>0</formula>
    </cfRule>
  </conditionalFormatting>
  <printOptions horizontalCentered="1"/>
  <pageMargins left="0.313888888888889" right="0.313888888888889" top="0.354166666666667" bottom="0.55" header="0.313888888888889" footer="0.313888888888889"/>
  <pageSetup paperSize="9" scale="55" orientation="landscape"/>
  <headerFooter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7030A0"/>
  </sheetPr>
  <dimension ref="A1:AG69"/>
  <sheetViews>
    <sheetView workbookViewId="0">
      <pane xSplit="11" ySplit="3" topLeftCell="L49" activePane="bottomRight" state="frozen"/>
      <selection/>
      <selection pane="topRight"/>
      <selection pane="bottomLeft"/>
      <selection pane="bottomRight" activeCell="X55" sqref="X55"/>
    </sheetView>
  </sheetViews>
  <sheetFormatPr defaultColWidth="9" defaultRowHeight="14.25"/>
  <cols>
    <col min="1" max="1" width="3.125" style="6" customWidth="1"/>
    <col min="2" max="2" width="8.75" style="6" customWidth="1"/>
    <col min="3" max="3" width="7.375" style="6" customWidth="1"/>
    <col min="4" max="4" width="12" style="6" customWidth="1"/>
    <col min="5" max="5" width="9.875" style="6" customWidth="1"/>
    <col min="6" max="9" width="5.125" style="7" customWidth="1"/>
    <col min="10" max="10" width="8.375" style="6" customWidth="1"/>
    <col min="11" max="11" width="4.875" style="6" customWidth="1"/>
    <col min="12" max="16" width="6.5" style="6" customWidth="1"/>
    <col min="17" max="17" width="8.625" style="6" customWidth="1"/>
    <col min="18" max="18" width="5.5" style="6" customWidth="1"/>
    <col min="19" max="21" width="5.375" style="6" customWidth="1"/>
    <col min="22" max="23" width="5.625" style="6" customWidth="1"/>
    <col min="24" max="24" width="6" style="6" customWidth="1"/>
    <col min="25" max="25" width="8.125" style="6" customWidth="1"/>
    <col min="26" max="26" width="24.25" style="6" customWidth="1"/>
    <col min="27" max="27" width="9" style="8" customWidth="1"/>
    <col min="28" max="28" width="9.125" style="8" customWidth="1"/>
    <col min="29" max="29" width="8.125" style="8" customWidth="1"/>
    <col min="30" max="30" width="9" style="8" customWidth="1"/>
    <col min="31" max="31" width="15.125" style="6" customWidth="1"/>
    <col min="32" max="32" width="20.375" style="6" customWidth="1"/>
    <col min="33" max="16384" width="9" style="6"/>
  </cols>
  <sheetData>
    <row r="1" ht="40.5" customHeight="1" spans="1:33">
      <c r="A1" s="9" t="s">
        <v>4612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1" t="s">
        <v>1</v>
      </c>
      <c r="AC1" s="11"/>
      <c r="AD1" s="12">
        <f ca="1">TODAY()</f>
        <v>46277</v>
      </c>
      <c r="AE1" s="13"/>
    </row>
    <row r="2" s="1" customFormat="1" ht="21.95" customHeight="1" spans="1:33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5" t="s">
        <v>11</v>
      </c>
      <c r="K2" s="15" t="s">
        <v>12</v>
      </c>
      <c r="L2" s="18" t="s">
        <v>13</v>
      </c>
      <c r="M2" s="18"/>
      <c r="N2" s="18"/>
      <c r="O2" s="18"/>
      <c r="P2" s="18"/>
      <c r="Q2" s="19" t="s">
        <v>14</v>
      </c>
      <c r="R2" s="20" t="s">
        <v>15</v>
      </c>
      <c r="S2" s="21" t="s">
        <v>4020</v>
      </c>
      <c r="T2" s="22" t="s">
        <v>1082</v>
      </c>
      <c r="U2" s="22" t="s">
        <v>1081</v>
      </c>
      <c r="V2" s="23" t="s">
        <v>4021</v>
      </c>
      <c r="W2" s="23" t="s">
        <v>178</v>
      </c>
      <c r="X2" s="21" t="s">
        <v>19</v>
      </c>
      <c r="Y2" s="21" t="s">
        <v>20</v>
      </c>
      <c r="Z2" s="24" t="s">
        <v>21</v>
      </c>
      <c r="AA2" s="25" t="s">
        <v>22</v>
      </c>
      <c r="AB2" s="26" t="s">
        <v>23</v>
      </c>
      <c r="AC2" s="26" t="s">
        <v>24</v>
      </c>
      <c r="AD2" s="26" t="s">
        <v>25</v>
      </c>
      <c r="AE2" s="27" t="s">
        <v>26</v>
      </c>
      <c r="AF2" s="28" t="s">
        <v>4613</v>
      </c>
    </row>
    <row r="3" s="1" customFormat="1" ht="27" customHeight="1" spans="1:33">
      <c r="A3" s="14"/>
      <c r="B3" s="15"/>
      <c r="C3" s="15"/>
      <c r="D3" s="15"/>
      <c r="E3" s="29"/>
      <c r="F3" s="17"/>
      <c r="G3" s="17"/>
      <c r="H3" s="17"/>
      <c r="I3" s="17"/>
      <c r="J3" s="15"/>
      <c r="K3" s="15"/>
      <c r="L3" s="30" t="s">
        <v>4022</v>
      </c>
      <c r="M3" s="30" t="s">
        <v>4023</v>
      </c>
      <c r="N3" s="30" t="s">
        <v>4024</v>
      </c>
      <c r="O3" s="30" t="s">
        <v>4025</v>
      </c>
      <c r="P3" s="30" t="s">
        <v>4026</v>
      </c>
      <c r="Q3" s="19"/>
      <c r="R3" s="31"/>
      <c r="S3" s="21"/>
      <c r="T3" s="32"/>
      <c r="U3" s="32"/>
      <c r="V3" s="33"/>
      <c r="W3" s="33"/>
      <c r="X3" s="21"/>
      <c r="Y3" s="21"/>
      <c r="Z3" s="24"/>
      <c r="AA3" s="25"/>
      <c r="AB3" s="26"/>
      <c r="AC3" s="26"/>
      <c r="AD3" s="26"/>
      <c r="AE3" s="27"/>
      <c r="AF3" s="1" t="s">
        <v>65</v>
      </c>
      <c r="AG3" s="1" t="s">
        <v>3245</v>
      </c>
    </row>
    <row r="4" s="2" customFormat="1" ht="39" hidden="1" customHeight="1" spans="1:33">
      <c r="A4" s="34">
        <f t="shared" ref="A4:A21" si="0">ROW()-3</f>
        <v>1</v>
      </c>
      <c r="B4" s="35" t="s">
        <v>485</v>
      </c>
      <c r="C4" s="35" t="s">
        <v>486</v>
      </c>
      <c r="D4" s="35" t="s">
        <v>4555</v>
      </c>
      <c r="E4" s="35"/>
      <c r="F4" s="36">
        <v>45944</v>
      </c>
      <c r="G4" s="36">
        <v>46018</v>
      </c>
      <c r="H4" s="36">
        <v>46018</v>
      </c>
      <c r="I4" s="36">
        <v>45957</v>
      </c>
      <c r="J4" s="35">
        <f t="shared" ref="J4:J29" si="1">SUBTOTAL(9,L4:P4)</f>
        <v>0</v>
      </c>
      <c r="K4" s="35">
        <v>10</v>
      </c>
      <c r="L4" s="37">
        <v>3000</v>
      </c>
      <c r="M4" s="37">
        <v>3000</v>
      </c>
      <c r="N4" s="37">
        <v>3000</v>
      </c>
      <c r="O4" s="37">
        <v>3000</v>
      </c>
      <c r="P4" s="37">
        <v>3000</v>
      </c>
      <c r="Q4" s="35" t="s">
        <v>809</v>
      </c>
      <c r="R4" s="35" t="s">
        <v>81</v>
      </c>
      <c r="S4" s="38" t="s">
        <v>4520</v>
      </c>
      <c r="T4" s="38" t="s">
        <v>4520</v>
      </c>
      <c r="U4" s="38" t="s">
        <v>4520</v>
      </c>
      <c r="V4" s="38" t="s">
        <v>4520</v>
      </c>
      <c r="W4" s="38"/>
      <c r="X4" s="35" t="s">
        <v>1097</v>
      </c>
      <c r="Y4" s="35" t="s">
        <v>809</v>
      </c>
      <c r="Z4" s="35" t="s">
        <v>4431</v>
      </c>
      <c r="AA4" s="39">
        <v>46016</v>
      </c>
      <c r="AB4" s="39">
        <v>46016</v>
      </c>
      <c r="AC4" s="39"/>
      <c r="AD4" s="39">
        <v>46026</v>
      </c>
      <c r="AE4" s="40" t="s">
        <v>4432</v>
      </c>
      <c r="AF4" s="41" t="s">
        <v>4614</v>
      </c>
    </row>
    <row r="5" s="2" customFormat="1" ht="38.1" hidden="1" customHeight="1" spans="1:33">
      <c r="A5" s="34">
        <f t="shared" si="0"/>
        <v>2</v>
      </c>
      <c r="B5" s="35" t="s">
        <v>420</v>
      </c>
      <c r="C5" s="35" t="s">
        <v>421</v>
      </c>
      <c r="D5" s="35" t="s">
        <v>4519</v>
      </c>
      <c r="E5" s="35"/>
      <c r="F5" s="36">
        <v>45884</v>
      </c>
      <c r="G5" s="36">
        <v>46020</v>
      </c>
      <c r="H5" s="36">
        <v>46020</v>
      </c>
      <c r="I5" s="36">
        <v>45971</v>
      </c>
      <c r="J5" s="35">
        <f t="shared" si="1"/>
        <v>0</v>
      </c>
      <c r="K5" s="35">
        <v>10</v>
      </c>
      <c r="L5" s="37">
        <v>2330</v>
      </c>
      <c r="M5" s="37">
        <v>2330</v>
      </c>
      <c r="N5" s="37">
        <v>2330</v>
      </c>
      <c r="O5" s="37">
        <v>2330</v>
      </c>
      <c r="P5" s="37">
        <v>2330</v>
      </c>
      <c r="Q5" s="35" t="s">
        <v>809</v>
      </c>
      <c r="R5" s="35" t="s">
        <v>81</v>
      </c>
      <c r="S5" s="38" t="s">
        <v>4615</v>
      </c>
      <c r="T5" s="38" t="s">
        <v>4616</v>
      </c>
      <c r="U5" s="38" t="s">
        <v>4615</v>
      </c>
      <c r="V5" s="38" t="s">
        <v>4617</v>
      </c>
      <c r="W5" s="38"/>
      <c r="X5" s="35" t="s">
        <v>1686</v>
      </c>
      <c r="Y5" s="35" t="s">
        <v>809</v>
      </c>
      <c r="Z5" s="35" t="s">
        <v>4618</v>
      </c>
      <c r="AA5" s="39">
        <v>46020</v>
      </c>
      <c r="AB5" s="39">
        <v>46020</v>
      </c>
      <c r="AC5" s="39"/>
      <c r="AD5" s="39">
        <v>46030</v>
      </c>
      <c r="AE5" s="40" t="s">
        <v>4522</v>
      </c>
      <c r="AF5" s="42"/>
    </row>
    <row r="6" s="2" customFormat="1" ht="27.75" hidden="1" customHeight="1" spans="1:33">
      <c r="A6" s="34">
        <f t="shared" si="0"/>
        <v>3</v>
      </c>
      <c r="B6" s="35" t="s">
        <v>420</v>
      </c>
      <c r="C6" s="35" t="s">
        <v>421</v>
      </c>
      <c r="D6" s="35" t="s">
        <v>4619</v>
      </c>
      <c r="E6" s="35"/>
      <c r="F6" s="36">
        <v>45950</v>
      </c>
      <c r="G6" s="36">
        <v>46030</v>
      </c>
      <c r="H6" s="36">
        <v>46030</v>
      </c>
      <c r="I6" s="36">
        <v>45986</v>
      </c>
      <c r="J6" s="35">
        <f t="shared" si="1"/>
        <v>0</v>
      </c>
      <c r="K6" s="35">
        <v>10</v>
      </c>
      <c r="L6" s="37">
        <v>2920</v>
      </c>
      <c r="M6" s="37">
        <v>2920</v>
      </c>
      <c r="N6" s="37">
        <v>2920</v>
      </c>
      <c r="O6" s="37">
        <v>2920</v>
      </c>
      <c r="P6" s="37">
        <v>2920</v>
      </c>
      <c r="Q6" s="35" t="s">
        <v>809</v>
      </c>
      <c r="R6" s="35" t="s">
        <v>81</v>
      </c>
      <c r="S6" s="38" t="s">
        <v>4520</v>
      </c>
      <c r="T6" s="38" t="s">
        <v>4520</v>
      </c>
      <c r="U6" s="38" t="s">
        <v>4520</v>
      </c>
      <c r="V6" s="38" t="s">
        <v>4520</v>
      </c>
      <c r="W6" s="38"/>
      <c r="X6" s="35" t="s">
        <v>905</v>
      </c>
      <c r="Y6" s="35" t="s">
        <v>809</v>
      </c>
      <c r="Z6" s="35" t="s">
        <v>4618</v>
      </c>
      <c r="AA6" s="39">
        <v>46028</v>
      </c>
      <c r="AB6" s="39">
        <v>46029</v>
      </c>
      <c r="AC6" s="39"/>
      <c r="AD6" s="39">
        <v>46043</v>
      </c>
      <c r="AE6" s="40" t="s">
        <v>4620</v>
      </c>
      <c r="AF6" s="42" t="s">
        <v>4621</v>
      </c>
    </row>
    <row r="7" s="2" customFormat="1" ht="39.75" hidden="1" customHeight="1" spans="1:33">
      <c r="A7" s="34">
        <f t="shared" si="0"/>
        <v>4</v>
      </c>
      <c r="B7" s="35" t="s">
        <v>2890</v>
      </c>
      <c r="C7" s="35" t="s">
        <v>1882</v>
      </c>
      <c r="D7" s="35" t="s">
        <v>4622</v>
      </c>
      <c r="E7" s="35"/>
      <c r="F7" s="36">
        <v>45875</v>
      </c>
      <c r="G7" s="36">
        <v>46035</v>
      </c>
      <c r="H7" s="36">
        <v>46035</v>
      </c>
      <c r="I7" s="36">
        <v>45883</v>
      </c>
      <c r="J7" s="35">
        <f t="shared" si="1"/>
        <v>0</v>
      </c>
      <c r="K7" s="35">
        <v>10</v>
      </c>
      <c r="L7" s="37">
        <v>1500</v>
      </c>
      <c r="M7" s="37">
        <f>$L7</f>
        <v>1500</v>
      </c>
      <c r="N7" s="37">
        <f>$L7</f>
        <v>1500</v>
      </c>
      <c r="O7" s="37">
        <f>$L7</f>
        <v>1500</v>
      </c>
      <c r="P7" s="37">
        <f>$L7</f>
        <v>1500</v>
      </c>
      <c r="Q7" s="35" t="s">
        <v>1084</v>
      </c>
      <c r="R7" s="35" t="s">
        <v>81</v>
      </c>
      <c r="S7" s="38" t="s">
        <v>4435</v>
      </c>
      <c r="T7" s="38" t="s">
        <v>4435</v>
      </c>
      <c r="U7" s="38" t="s">
        <v>4435</v>
      </c>
      <c r="V7" s="38" t="s">
        <v>4435</v>
      </c>
      <c r="W7" s="38"/>
      <c r="X7" s="35" t="s">
        <v>905</v>
      </c>
      <c r="Y7" s="35" t="s">
        <v>1084</v>
      </c>
      <c r="Z7" s="35" t="s">
        <v>4436</v>
      </c>
      <c r="AA7" s="43">
        <v>46035</v>
      </c>
      <c r="AB7" s="39">
        <v>46034</v>
      </c>
      <c r="AC7" s="44">
        <v>46035</v>
      </c>
      <c r="AD7" s="39">
        <v>46049</v>
      </c>
      <c r="AE7" s="40" t="s">
        <v>4623</v>
      </c>
      <c r="AF7" s="2" t="s">
        <v>4614</v>
      </c>
    </row>
    <row r="8" s="2" customFormat="1" ht="27.75" hidden="1" customHeight="1" spans="1:33">
      <c r="A8" s="34">
        <f t="shared" si="0"/>
        <v>5</v>
      </c>
      <c r="B8" s="35" t="s">
        <v>420</v>
      </c>
      <c r="C8" s="35" t="s">
        <v>421</v>
      </c>
      <c r="D8" s="35" t="s">
        <v>4624</v>
      </c>
      <c r="E8" s="35"/>
      <c r="F8" s="36">
        <v>45950</v>
      </c>
      <c r="G8" s="36">
        <v>46042</v>
      </c>
      <c r="H8" s="36">
        <v>46042</v>
      </c>
      <c r="I8" s="36">
        <v>45986</v>
      </c>
      <c r="J8" s="35">
        <f t="shared" si="1"/>
        <v>0</v>
      </c>
      <c r="K8" s="35">
        <v>10</v>
      </c>
      <c r="L8" s="37">
        <v>4080</v>
      </c>
      <c r="M8" s="37">
        <v>4080</v>
      </c>
      <c r="N8" s="37">
        <v>4080</v>
      </c>
      <c r="O8" s="37">
        <v>4080</v>
      </c>
      <c r="P8" s="37">
        <v>4080</v>
      </c>
      <c r="Q8" s="35" t="s">
        <v>809</v>
      </c>
      <c r="R8" s="35" t="s">
        <v>81</v>
      </c>
      <c r="S8" s="38" t="s">
        <v>4520</v>
      </c>
      <c r="T8" s="38" t="s">
        <v>4520</v>
      </c>
      <c r="U8" s="38" t="s">
        <v>4520</v>
      </c>
      <c r="V8" s="38" t="s">
        <v>4520</v>
      </c>
      <c r="W8" s="38"/>
      <c r="X8" s="35" t="s">
        <v>905</v>
      </c>
      <c r="Y8" s="35" t="s">
        <v>809</v>
      </c>
      <c r="Z8" s="35" t="s">
        <v>4618</v>
      </c>
      <c r="AA8" s="39">
        <v>46040</v>
      </c>
      <c r="AB8" s="44">
        <v>46051</v>
      </c>
      <c r="AC8" s="44"/>
      <c r="AD8" s="39">
        <v>46053</v>
      </c>
      <c r="AE8" s="40" t="s">
        <v>4625</v>
      </c>
      <c r="AF8" s="42" t="s">
        <v>4621</v>
      </c>
    </row>
    <row r="9" s="2" customFormat="1" ht="27.75" hidden="1" customHeight="1" spans="1:33">
      <c r="A9" s="34">
        <f t="shared" si="0"/>
        <v>6</v>
      </c>
      <c r="B9" s="35" t="s">
        <v>4349</v>
      </c>
      <c r="C9" s="35" t="s">
        <v>1674</v>
      </c>
      <c r="D9" s="35" t="s">
        <v>4626</v>
      </c>
      <c r="E9" s="35"/>
      <c r="F9" s="36">
        <v>45958</v>
      </c>
      <c r="G9" s="36">
        <v>46042</v>
      </c>
      <c r="H9" s="36">
        <v>46042</v>
      </c>
      <c r="I9" s="36">
        <v>45994</v>
      </c>
      <c r="J9" s="35">
        <f t="shared" si="1"/>
        <v>0</v>
      </c>
      <c r="K9" s="35">
        <v>10</v>
      </c>
      <c r="L9" s="37">
        <v>450</v>
      </c>
      <c r="M9" s="37">
        <v>450</v>
      </c>
      <c r="N9" s="37">
        <v>450</v>
      </c>
      <c r="O9" s="37">
        <v>450</v>
      </c>
      <c r="P9" s="37">
        <v>450</v>
      </c>
      <c r="Q9" s="35" t="s">
        <v>809</v>
      </c>
      <c r="R9" s="45" t="s">
        <v>104</v>
      </c>
      <c r="S9" s="38" t="s">
        <v>4627</v>
      </c>
      <c r="T9" s="38" t="s">
        <v>4616</v>
      </c>
      <c r="U9" s="38" t="s">
        <v>4615</v>
      </c>
      <c r="V9" s="38" t="s">
        <v>4617</v>
      </c>
      <c r="W9" s="38"/>
      <c r="X9" s="35" t="s">
        <v>905</v>
      </c>
      <c r="Y9" s="35" t="s">
        <v>809</v>
      </c>
      <c r="Z9" s="35" t="s">
        <v>4353</v>
      </c>
      <c r="AA9" s="39">
        <v>46040</v>
      </c>
      <c r="AB9" s="44">
        <v>46050</v>
      </c>
      <c r="AC9" s="44"/>
      <c r="AD9" s="39">
        <v>46058</v>
      </c>
      <c r="AE9" s="40">
        <v>4504147612</v>
      </c>
      <c r="AF9" s="42" t="s">
        <v>4614</v>
      </c>
    </row>
    <row r="10" s="2" customFormat="1" ht="38.1" hidden="1" customHeight="1" spans="1:33">
      <c r="A10" s="34">
        <f t="shared" si="0"/>
        <v>7</v>
      </c>
      <c r="B10" s="35" t="s">
        <v>2890</v>
      </c>
      <c r="C10" s="35" t="s">
        <v>1674</v>
      </c>
      <c r="D10" s="35" t="s">
        <v>4628</v>
      </c>
      <c r="E10" s="35"/>
      <c r="F10" s="36">
        <v>45926</v>
      </c>
      <c r="G10" s="36">
        <v>46042</v>
      </c>
      <c r="H10" s="36">
        <v>46042</v>
      </c>
      <c r="I10" s="36">
        <v>45952</v>
      </c>
      <c r="J10" s="35">
        <f t="shared" si="1"/>
        <v>0</v>
      </c>
      <c r="K10" s="35">
        <v>10</v>
      </c>
      <c r="L10" s="37">
        <v>1000</v>
      </c>
      <c r="M10" s="37">
        <v>1000</v>
      </c>
      <c r="N10" s="37">
        <v>1000</v>
      </c>
      <c r="O10" s="37">
        <v>1000</v>
      </c>
      <c r="P10" s="37">
        <v>1000</v>
      </c>
      <c r="Q10" s="35" t="s">
        <v>809</v>
      </c>
      <c r="R10" s="35" t="s">
        <v>81</v>
      </c>
      <c r="S10" s="38" t="s">
        <v>4520</v>
      </c>
      <c r="T10" s="38" t="s">
        <v>4520</v>
      </c>
      <c r="U10" s="38" t="s">
        <v>4520</v>
      </c>
      <c r="V10" s="38" t="s">
        <v>4520</v>
      </c>
      <c r="W10" s="38"/>
      <c r="X10" s="35" t="s">
        <v>905</v>
      </c>
      <c r="Y10" s="35" t="s">
        <v>809</v>
      </c>
      <c r="Z10" s="35" t="s">
        <v>4441</v>
      </c>
      <c r="AA10" s="39">
        <v>46042</v>
      </c>
      <c r="AB10" s="44">
        <v>46045</v>
      </c>
      <c r="AC10" s="44">
        <v>46048</v>
      </c>
      <c r="AD10" s="39">
        <v>46056</v>
      </c>
      <c r="AE10" s="40">
        <v>2536169</v>
      </c>
      <c r="AF10" s="42" t="s">
        <v>4614</v>
      </c>
    </row>
    <row r="11" s="2" customFormat="1" ht="27.75" hidden="1" customHeight="1" spans="1:33">
      <c r="A11" s="34">
        <f t="shared" si="0"/>
        <v>8</v>
      </c>
      <c r="B11" s="35" t="s">
        <v>420</v>
      </c>
      <c r="C11" s="35" t="s">
        <v>421</v>
      </c>
      <c r="D11" s="35" t="s">
        <v>4629</v>
      </c>
      <c r="E11" s="35" t="s">
        <v>4630</v>
      </c>
      <c r="F11" s="36">
        <v>45950</v>
      </c>
      <c r="G11" s="36">
        <v>46079</v>
      </c>
      <c r="H11" s="36">
        <v>46079</v>
      </c>
      <c r="I11" s="36">
        <v>46029</v>
      </c>
      <c r="J11" s="35">
        <f t="shared" si="1"/>
        <v>0</v>
      </c>
      <c r="K11" s="35">
        <v>10</v>
      </c>
      <c r="L11" s="37">
        <v>1166</v>
      </c>
      <c r="M11" s="37">
        <v>1166</v>
      </c>
      <c r="N11" s="37">
        <v>1166</v>
      </c>
      <c r="O11" s="37">
        <v>1166</v>
      </c>
      <c r="P11" s="37">
        <v>1166</v>
      </c>
      <c r="Q11" s="35" t="s">
        <v>809</v>
      </c>
      <c r="R11" s="35" t="s">
        <v>81</v>
      </c>
      <c r="S11" s="38" t="s">
        <v>4520</v>
      </c>
      <c r="T11" s="38" t="s">
        <v>4520</v>
      </c>
      <c r="U11" s="38" t="s">
        <v>4520</v>
      </c>
      <c r="V11" s="38" t="s">
        <v>4520</v>
      </c>
      <c r="W11" s="38"/>
      <c r="X11" s="35" t="s">
        <v>2099</v>
      </c>
      <c r="Y11" s="35" t="s">
        <v>809</v>
      </c>
      <c r="Z11" s="35" t="s">
        <v>4631</v>
      </c>
      <c r="AA11" s="39">
        <v>46079</v>
      </c>
      <c r="AB11" s="44">
        <v>46056</v>
      </c>
      <c r="AC11" s="44"/>
      <c r="AD11" s="39">
        <v>46092</v>
      </c>
      <c r="AE11" s="40" t="s">
        <v>4632</v>
      </c>
      <c r="AF11" s="41" t="s">
        <v>4621</v>
      </c>
    </row>
    <row r="12" s="2" customFormat="1" ht="27.75" hidden="1" customHeight="1" spans="1:33">
      <c r="A12" s="34">
        <f t="shared" si="0"/>
        <v>9</v>
      </c>
      <c r="B12" s="35" t="s">
        <v>270</v>
      </c>
      <c r="C12" s="35" t="s">
        <v>271</v>
      </c>
      <c r="D12" s="35" t="s">
        <v>4362</v>
      </c>
      <c r="E12" s="35" t="s">
        <v>4363</v>
      </c>
      <c r="F12" s="36">
        <v>46006</v>
      </c>
      <c r="G12" s="36">
        <v>46090</v>
      </c>
      <c r="H12" s="36">
        <v>46090</v>
      </c>
      <c r="I12" s="36">
        <v>46038</v>
      </c>
      <c r="J12" s="35">
        <f t="shared" si="1"/>
        <v>0</v>
      </c>
      <c r="K12" s="35">
        <v>10</v>
      </c>
      <c r="L12" s="37">
        <v>300</v>
      </c>
      <c r="M12" s="37">
        <v>300</v>
      </c>
      <c r="N12" s="37">
        <v>300</v>
      </c>
      <c r="O12" s="37">
        <v>300</v>
      </c>
      <c r="P12" s="37">
        <v>300</v>
      </c>
      <c r="Q12" s="35" t="s">
        <v>4364</v>
      </c>
      <c r="R12" s="45" t="s">
        <v>104</v>
      </c>
      <c r="S12" s="38" t="s">
        <v>4365</v>
      </c>
      <c r="T12" s="38" t="s">
        <v>4633</v>
      </c>
      <c r="U12" s="38" t="s">
        <v>4365</v>
      </c>
      <c r="V12" s="38" t="s">
        <v>3735</v>
      </c>
      <c r="W12" s="38"/>
      <c r="X12" s="35" t="s">
        <v>2099</v>
      </c>
      <c r="Y12" s="35" t="s">
        <v>4364</v>
      </c>
      <c r="Z12" s="35" t="s">
        <v>4366</v>
      </c>
      <c r="AA12" s="39">
        <v>46088</v>
      </c>
      <c r="AB12" s="44">
        <v>46114</v>
      </c>
      <c r="AC12" s="39"/>
      <c r="AD12" s="39">
        <v>46155</v>
      </c>
      <c r="AE12" s="40" t="s">
        <v>4367</v>
      </c>
      <c r="AF12" s="41" t="s">
        <v>4614</v>
      </c>
    </row>
    <row r="13" s="2" customFormat="1" ht="27.75" hidden="1" customHeight="1" spans="1:33">
      <c r="A13" s="34">
        <f t="shared" si="0"/>
        <v>10</v>
      </c>
      <c r="B13" s="35" t="s">
        <v>270</v>
      </c>
      <c r="C13" s="35" t="s">
        <v>271</v>
      </c>
      <c r="D13" s="35" t="s">
        <v>4368</v>
      </c>
      <c r="E13" s="35" t="s">
        <v>4369</v>
      </c>
      <c r="F13" s="36">
        <v>46006</v>
      </c>
      <c r="G13" s="36">
        <v>46088</v>
      </c>
      <c r="H13" s="36">
        <v>46088</v>
      </c>
      <c r="I13" s="36">
        <v>46087</v>
      </c>
      <c r="J13" s="35">
        <f t="shared" si="1"/>
        <v>0</v>
      </c>
      <c r="K13" s="35">
        <v>10</v>
      </c>
      <c r="L13" s="37">
        <v>200</v>
      </c>
      <c r="M13" s="37">
        <v>200</v>
      </c>
      <c r="N13" s="37">
        <v>200</v>
      </c>
      <c r="O13" s="37">
        <v>200</v>
      </c>
      <c r="P13" s="37">
        <v>200</v>
      </c>
      <c r="Q13" s="35" t="s">
        <v>4364</v>
      </c>
      <c r="R13" s="45" t="s">
        <v>104</v>
      </c>
      <c r="S13" s="38" t="s">
        <v>4365</v>
      </c>
      <c r="T13" s="38" t="s">
        <v>4633</v>
      </c>
      <c r="U13" s="38" t="s">
        <v>4365</v>
      </c>
      <c r="V13" s="38" t="s">
        <v>3735</v>
      </c>
      <c r="W13" s="38"/>
      <c r="X13" s="35" t="s">
        <v>4370</v>
      </c>
      <c r="Y13" s="35" t="s">
        <v>4364</v>
      </c>
      <c r="Z13" s="35" t="s">
        <v>4366</v>
      </c>
      <c r="AA13" s="39">
        <v>46086</v>
      </c>
      <c r="AB13" s="44">
        <v>46114</v>
      </c>
      <c r="AC13" s="39"/>
      <c r="AD13" s="39">
        <v>46155</v>
      </c>
      <c r="AE13" s="40" t="s">
        <v>4371</v>
      </c>
      <c r="AF13" s="41" t="s">
        <v>4614</v>
      </c>
    </row>
    <row r="14" s="2" customFormat="1" ht="27.75" hidden="1" customHeight="1" spans="1:33">
      <c r="A14" s="34">
        <f t="shared" si="0"/>
        <v>11</v>
      </c>
      <c r="B14" s="35" t="s">
        <v>2890</v>
      </c>
      <c r="C14" s="35" t="s">
        <v>1674</v>
      </c>
      <c r="D14" s="35" t="s">
        <v>4634</v>
      </c>
      <c r="E14" s="35" t="s">
        <v>4635</v>
      </c>
      <c r="F14" s="36">
        <v>46041</v>
      </c>
      <c r="G14" s="36">
        <v>46126</v>
      </c>
      <c r="H14" s="36">
        <v>46126</v>
      </c>
      <c r="I14" s="36">
        <v>46059</v>
      </c>
      <c r="J14" s="35">
        <f t="shared" si="1"/>
        <v>0</v>
      </c>
      <c r="K14" s="35">
        <v>10</v>
      </c>
      <c r="L14" s="37">
        <v>6000</v>
      </c>
      <c r="M14" s="37">
        <v>6000</v>
      </c>
      <c r="N14" s="37">
        <v>6000</v>
      </c>
      <c r="O14" s="37">
        <v>6000</v>
      </c>
      <c r="P14" s="37">
        <v>6000</v>
      </c>
      <c r="Q14" s="35" t="s">
        <v>127</v>
      </c>
      <c r="R14" s="46" t="s">
        <v>104</v>
      </c>
      <c r="S14" s="38" t="s">
        <v>730</v>
      </c>
      <c r="T14" s="38" t="s">
        <v>3735</v>
      </c>
      <c r="U14" s="38" t="s">
        <v>730</v>
      </c>
      <c r="V14" s="38" t="s">
        <v>3735</v>
      </c>
      <c r="W14" s="38"/>
      <c r="X14" s="38" t="s">
        <v>730</v>
      </c>
      <c r="Y14" s="35" t="s">
        <v>127</v>
      </c>
      <c r="Z14" s="35" t="s">
        <v>4243</v>
      </c>
      <c r="AA14" s="39">
        <v>46126</v>
      </c>
      <c r="AB14" s="44">
        <v>46121</v>
      </c>
      <c r="AC14" s="39">
        <v>46142</v>
      </c>
      <c r="AD14" s="39" t="s">
        <v>4636</v>
      </c>
      <c r="AE14" s="40">
        <v>2581427</v>
      </c>
      <c r="AF14" s="41" t="s">
        <v>4637</v>
      </c>
      <c r="AG14" s="2" t="s">
        <v>1607</v>
      </c>
    </row>
    <row r="15" s="2" customFormat="1" ht="27.75" hidden="1" customHeight="1" spans="1:33">
      <c r="A15" s="34">
        <f t="shared" si="0"/>
        <v>12</v>
      </c>
      <c r="B15" s="35" t="s">
        <v>359</v>
      </c>
      <c r="C15" s="35" t="s">
        <v>360</v>
      </c>
      <c r="D15" s="35" t="s">
        <v>4302</v>
      </c>
      <c r="E15" s="35" t="s">
        <v>4303</v>
      </c>
      <c r="F15" s="36">
        <v>46079</v>
      </c>
      <c r="G15" s="36">
        <v>46154</v>
      </c>
      <c r="H15" s="36">
        <v>46154</v>
      </c>
      <c r="I15" s="36">
        <v>46085</v>
      </c>
      <c r="J15" s="35">
        <f t="shared" si="1"/>
        <v>0</v>
      </c>
      <c r="K15" s="35">
        <v>10</v>
      </c>
      <c r="L15" s="37">
        <v>2000</v>
      </c>
      <c r="M15" s="37">
        <v>2000</v>
      </c>
      <c r="N15" s="37">
        <v>2000</v>
      </c>
      <c r="O15" s="37">
        <v>2000</v>
      </c>
      <c r="P15" s="37">
        <v>2000</v>
      </c>
      <c r="Q15" s="35" t="s">
        <v>2495</v>
      </c>
      <c r="R15" s="45" t="s">
        <v>104</v>
      </c>
      <c r="S15" s="38" t="s">
        <v>4154</v>
      </c>
      <c r="T15" s="38" t="s">
        <v>3735</v>
      </c>
      <c r="U15" s="38" t="s">
        <v>4154</v>
      </c>
      <c r="V15" s="38" t="s">
        <v>3735</v>
      </c>
      <c r="W15" s="38"/>
      <c r="X15" s="35" t="s">
        <v>3417</v>
      </c>
      <c r="Y15" s="35" t="s">
        <v>2495</v>
      </c>
      <c r="Z15" s="35" t="s">
        <v>4304</v>
      </c>
      <c r="AA15" s="39">
        <v>46154</v>
      </c>
      <c r="AB15" s="39">
        <v>46150</v>
      </c>
      <c r="AC15" s="39"/>
      <c r="AD15" s="39">
        <v>46155</v>
      </c>
      <c r="AE15" s="40" t="s">
        <v>4305</v>
      </c>
      <c r="AF15" s="41" t="s">
        <v>4637</v>
      </c>
      <c r="AG15" s="2" t="s">
        <v>1610</v>
      </c>
    </row>
    <row r="16" s="2" customFormat="1" ht="27.75" hidden="1" customHeight="1" spans="1:33">
      <c r="A16" s="34">
        <f t="shared" si="0"/>
        <v>13</v>
      </c>
      <c r="B16" s="35" t="s">
        <v>2890</v>
      </c>
      <c r="C16" s="35" t="s">
        <v>1674</v>
      </c>
      <c r="D16" s="35" t="s">
        <v>4638</v>
      </c>
      <c r="E16" s="35" t="s">
        <v>4639</v>
      </c>
      <c r="F16" s="36">
        <v>46079</v>
      </c>
      <c r="G16" s="36">
        <v>46158</v>
      </c>
      <c r="H16" s="36">
        <v>46158</v>
      </c>
      <c r="I16" s="36">
        <v>46106</v>
      </c>
      <c r="J16" s="35">
        <f t="shared" si="1"/>
        <v>0</v>
      </c>
      <c r="K16" s="35">
        <v>10</v>
      </c>
      <c r="L16" s="37">
        <v>6006</v>
      </c>
      <c r="M16" s="37">
        <v>6006</v>
      </c>
      <c r="N16" s="37">
        <v>6006</v>
      </c>
      <c r="O16" s="37">
        <v>6006</v>
      </c>
      <c r="P16" s="37">
        <v>6006</v>
      </c>
      <c r="Q16" s="35" t="s">
        <v>2495</v>
      </c>
      <c r="R16" s="46" t="s">
        <v>104</v>
      </c>
      <c r="S16" s="38" t="s">
        <v>4154</v>
      </c>
      <c r="T16" s="38" t="s">
        <v>3735</v>
      </c>
      <c r="U16" s="38" t="s">
        <v>4154</v>
      </c>
      <c r="V16" s="38" t="s">
        <v>3735</v>
      </c>
      <c r="W16" s="38"/>
      <c r="X16" s="35" t="s">
        <v>3417</v>
      </c>
      <c r="Y16" s="35" t="s">
        <v>2495</v>
      </c>
      <c r="Z16" s="35" t="s">
        <v>4243</v>
      </c>
      <c r="AA16" s="39">
        <v>46158</v>
      </c>
      <c r="AB16" s="39">
        <v>46150</v>
      </c>
      <c r="AC16" s="39">
        <v>46164</v>
      </c>
      <c r="AD16" s="39" t="s">
        <v>4640</v>
      </c>
      <c r="AE16" s="40">
        <v>2592509</v>
      </c>
      <c r="AF16" s="41" t="s">
        <v>4637</v>
      </c>
      <c r="AG16" s="2" t="s">
        <v>1610</v>
      </c>
    </row>
    <row r="17" s="2" customFormat="1" ht="27.75" hidden="1" customHeight="1" spans="1:33">
      <c r="A17" s="47">
        <f t="shared" si="0"/>
        <v>14</v>
      </c>
      <c r="B17" s="48" t="s">
        <v>740</v>
      </c>
      <c r="C17" s="49" t="s">
        <v>741</v>
      </c>
      <c r="D17" s="50" t="s">
        <v>742</v>
      </c>
      <c r="E17" s="51" t="s">
        <v>743</v>
      </c>
      <c r="F17" s="52">
        <v>46083</v>
      </c>
      <c r="G17" s="52">
        <v>46165</v>
      </c>
      <c r="H17" s="52">
        <v>46165</v>
      </c>
      <c r="I17" s="53">
        <v>46133</v>
      </c>
      <c r="J17" s="37">
        <f t="shared" si="1"/>
        <v>0</v>
      </c>
      <c r="K17" s="37">
        <v>10</v>
      </c>
      <c r="L17" s="37">
        <v>580</v>
      </c>
      <c r="M17" s="37">
        <v>580</v>
      </c>
      <c r="N17" s="37">
        <v>580</v>
      </c>
      <c r="O17" s="37">
        <v>580</v>
      </c>
      <c r="P17" s="37">
        <v>580</v>
      </c>
      <c r="Q17" s="37" t="s">
        <v>2495</v>
      </c>
      <c r="R17" s="46" t="s">
        <v>104</v>
      </c>
      <c r="S17" s="54" t="s">
        <v>4083</v>
      </c>
      <c r="T17" s="54" t="s">
        <v>4083</v>
      </c>
      <c r="U17" s="54" t="s">
        <v>4083</v>
      </c>
      <c r="V17" s="54" t="s">
        <v>4084</v>
      </c>
      <c r="W17" s="54"/>
      <c r="X17" s="37" t="s">
        <v>744</v>
      </c>
      <c r="Y17" s="37" t="s">
        <v>2495</v>
      </c>
      <c r="Z17" s="37" t="s">
        <v>4218</v>
      </c>
      <c r="AA17" s="44">
        <v>46165</v>
      </c>
      <c r="AB17" s="44">
        <v>46169</v>
      </c>
      <c r="AC17" s="44"/>
      <c r="AD17" s="44">
        <v>46174</v>
      </c>
      <c r="AE17" s="55">
        <v>740</v>
      </c>
      <c r="AF17" s="41" t="s">
        <v>4637</v>
      </c>
      <c r="AG17" s="2" t="s">
        <v>2533</v>
      </c>
    </row>
    <row r="18" s="2" customFormat="1" ht="27.75" hidden="1" customHeight="1" spans="1:33">
      <c r="A18" s="47">
        <f t="shared" si="0"/>
        <v>15</v>
      </c>
      <c r="B18" s="37" t="s">
        <v>420</v>
      </c>
      <c r="C18" s="37" t="s">
        <v>421</v>
      </c>
      <c r="D18" s="37" t="s">
        <v>4396</v>
      </c>
      <c r="E18" s="37" t="s">
        <v>4397</v>
      </c>
      <c r="F18" s="56">
        <v>46094</v>
      </c>
      <c r="G18" s="56">
        <v>46169</v>
      </c>
      <c r="H18" s="56">
        <v>46169</v>
      </c>
      <c r="I18" s="56">
        <v>46136</v>
      </c>
      <c r="J18" s="37">
        <f t="shared" si="1"/>
        <v>0</v>
      </c>
      <c r="K18" s="37">
        <v>10</v>
      </c>
      <c r="L18" s="37">
        <v>4000</v>
      </c>
      <c r="M18" s="37">
        <v>4000</v>
      </c>
      <c r="N18" s="37">
        <v>4000</v>
      </c>
      <c r="O18" s="37">
        <v>4000</v>
      </c>
      <c r="P18" s="37">
        <v>4000</v>
      </c>
      <c r="Q18" s="37" t="s">
        <v>2495</v>
      </c>
      <c r="R18" s="46" t="s">
        <v>196</v>
      </c>
      <c r="S18" s="54" t="s">
        <v>4083</v>
      </c>
      <c r="T18" s="54" t="s">
        <v>4083</v>
      </c>
      <c r="U18" s="54" t="s">
        <v>4083</v>
      </c>
      <c r="V18" s="54" t="s">
        <v>4084</v>
      </c>
      <c r="W18" s="54"/>
      <c r="X18" s="54" t="s">
        <v>501</v>
      </c>
      <c r="Y18" s="37" t="s">
        <v>2495</v>
      </c>
      <c r="Z18" s="37" t="s">
        <v>4221</v>
      </c>
      <c r="AA18" s="44">
        <v>46169</v>
      </c>
      <c r="AB18" s="44">
        <v>46170</v>
      </c>
      <c r="AC18" s="44"/>
      <c r="AD18" s="44">
        <v>46186</v>
      </c>
      <c r="AE18" s="55" t="s">
        <v>4398</v>
      </c>
      <c r="AF18" s="41" t="s">
        <v>4621</v>
      </c>
      <c r="AG18" s="2" t="s">
        <v>3235</v>
      </c>
    </row>
    <row r="19" s="2" customFormat="1" ht="27.75" hidden="1" customHeight="1" spans="1:33">
      <c r="A19" s="34">
        <f t="shared" si="0"/>
        <v>16</v>
      </c>
      <c r="B19" s="35" t="s">
        <v>4311</v>
      </c>
      <c r="C19" s="35" t="s">
        <v>1945</v>
      </c>
      <c r="D19" s="35" t="s">
        <v>4312</v>
      </c>
      <c r="E19" s="35" t="s">
        <v>4313</v>
      </c>
      <c r="F19" s="36">
        <v>46092</v>
      </c>
      <c r="G19" s="36">
        <v>46174</v>
      </c>
      <c r="H19" s="36">
        <v>46174</v>
      </c>
      <c r="I19" s="36">
        <v>46140</v>
      </c>
      <c r="J19" s="35">
        <f t="shared" si="1"/>
        <v>0</v>
      </c>
      <c r="K19" s="35">
        <v>10</v>
      </c>
      <c r="L19" s="37">
        <v>990</v>
      </c>
      <c r="M19" s="37">
        <v>990</v>
      </c>
      <c r="N19" s="37">
        <v>990</v>
      </c>
      <c r="O19" s="37">
        <v>990</v>
      </c>
      <c r="P19" s="37">
        <v>990</v>
      </c>
      <c r="Q19" s="35" t="s">
        <v>2495</v>
      </c>
      <c r="R19" s="46" t="s">
        <v>104</v>
      </c>
      <c r="S19" s="54" t="s">
        <v>4083</v>
      </c>
      <c r="T19" s="54" t="s">
        <v>4083</v>
      </c>
      <c r="U19" s="54" t="s">
        <v>4083</v>
      </c>
      <c r="V19" s="54" t="s">
        <v>4084</v>
      </c>
      <c r="W19" s="54"/>
      <c r="X19" s="37" t="s">
        <v>744</v>
      </c>
      <c r="Y19" s="37" t="s">
        <v>2495</v>
      </c>
      <c r="Z19" s="37" t="s">
        <v>4314</v>
      </c>
      <c r="AA19" s="44">
        <v>46174</v>
      </c>
      <c r="AB19" s="44">
        <v>46178</v>
      </c>
      <c r="AC19" s="39"/>
      <c r="AD19" s="39">
        <v>46200</v>
      </c>
      <c r="AE19" s="40">
        <v>875102</v>
      </c>
      <c r="AF19" s="41" t="s">
        <v>4637</v>
      </c>
      <c r="AG19" s="2" t="s">
        <v>2533</v>
      </c>
    </row>
    <row r="20" s="2" customFormat="1" ht="27.75" hidden="1" customHeight="1" spans="1:33">
      <c r="A20" s="34">
        <f t="shared" si="0"/>
        <v>17</v>
      </c>
      <c r="B20" s="35" t="s">
        <v>4311</v>
      </c>
      <c r="C20" s="35" t="s">
        <v>1945</v>
      </c>
      <c r="D20" s="35" t="s">
        <v>4315</v>
      </c>
      <c r="E20" s="35" t="s">
        <v>4316</v>
      </c>
      <c r="F20" s="36">
        <v>46092</v>
      </c>
      <c r="G20" s="36">
        <v>46174</v>
      </c>
      <c r="H20" s="36">
        <v>46174</v>
      </c>
      <c r="I20" s="36">
        <v>46135</v>
      </c>
      <c r="J20" s="35">
        <f t="shared" si="1"/>
        <v>0</v>
      </c>
      <c r="K20" s="35">
        <v>10</v>
      </c>
      <c r="L20" s="37">
        <v>1066</v>
      </c>
      <c r="M20" s="37">
        <v>1066</v>
      </c>
      <c r="N20" s="37">
        <v>1066</v>
      </c>
      <c r="O20" s="37">
        <v>1066</v>
      </c>
      <c r="P20" s="37">
        <v>1066</v>
      </c>
      <c r="Q20" s="35" t="s">
        <v>2495</v>
      </c>
      <c r="R20" s="46" t="s">
        <v>104</v>
      </c>
      <c r="S20" s="54" t="s">
        <v>4083</v>
      </c>
      <c r="T20" s="54" t="s">
        <v>4083</v>
      </c>
      <c r="U20" s="54" t="s">
        <v>4083</v>
      </c>
      <c r="V20" s="54" t="s">
        <v>4084</v>
      </c>
      <c r="W20" s="54"/>
      <c r="X20" s="37" t="s">
        <v>744</v>
      </c>
      <c r="Y20" s="37" t="s">
        <v>2495</v>
      </c>
      <c r="Z20" s="37" t="s">
        <v>4314</v>
      </c>
      <c r="AA20" s="44">
        <v>46174</v>
      </c>
      <c r="AB20" s="44">
        <v>46178</v>
      </c>
      <c r="AC20" s="39"/>
      <c r="AD20" s="39">
        <v>46200</v>
      </c>
      <c r="AE20" s="40">
        <v>875100</v>
      </c>
      <c r="AF20" s="41" t="s">
        <v>4637</v>
      </c>
      <c r="AG20" s="2" t="s">
        <v>2533</v>
      </c>
    </row>
    <row r="21" s="2" customFormat="1" ht="27.75" hidden="1" customHeight="1" spans="1:33">
      <c r="A21" s="34">
        <f t="shared" si="0"/>
        <v>18</v>
      </c>
      <c r="B21" s="35" t="s">
        <v>4311</v>
      </c>
      <c r="C21" s="35" t="s">
        <v>1945</v>
      </c>
      <c r="D21" s="35" t="s">
        <v>4317</v>
      </c>
      <c r="E21" s="35" t="s">
        <v>4318</v>
      </c>
      <c r="F21" s="36">
        <v>46092</v>
      </c>
      <c r="G21" s="36">
        <v>46174</v>
      </c>
      <c r="H21" s="36">
        <v>46174</v>
      </c>
      <c r="I21" s="36">
        <v>46140</v>
      </c>
      <c r="J21" s="35">
        <f t="shared" si="1"/>
        <v>0</v>
      </c>
      <c r="K21" s="35">
        <v>10</v>
      </c>
      <c r="L21" s="37">
        <v>946</v>
      </c>
      <c r="M21" s="37">
        <v>946</v>
      </c>
      <c r="N21" s="37">
        <v>946</v>
      </c>
      <c r="O21" s="37">
        <v>946</v>
      </c>
      <c r="P21" s="37">
        <v>946</v>
      </c>
      <c r="Q21" s="35" t="s">
        <v>2495</v>
      </c>
      <c r="R21" s="46" t="s">
        <v>104</v>
      </c>
      <c r="S21" s="54" t="s">
        <v>4083</v>
      </c>
      <c r="T21" s="54" t="s">
        <v>4083</v>
      </c>
      <c r="U21" s="54" t="s">
        <v>4083</v>
      </c>
      <c r="V21" s="54" t="s">
        <v>4084</v>
      </c>
      <c r="W21" s="54"/>
      <c r="X21" s="37" t="s">
        <v>744</v>
      </c>
      <c r="Y21" s="37" t="s">
        <v>2495</v>
      </c>
      <c r="Z21" s="37" t="s">
        <v>4314</v>
      </c>
      <c r="AA21" s="44">
        <v>46174</v>
      </c>
      <c r="AB21" s="44">
        <v>46178</v>
      </c>
      <c r="AC21" s="39"/>
      <c r="AD21" s="39">
        <v>46217</v>
      </c>
      <c r="AE21" s="40">
        <v>875099</v>
      </c>
      <c r="AF21" s="41" t="s">
        <v>4637</v>
      </c>
      <c r="AG21" s="2" t="s">
        <v>2533</v>
      </c>
    </row>
    <row r="22" s="2" customFormat="1" ht="27.75" hidden="1" customHeight="1" spans="1:33">
      <c r="A22" s="34">
        <f t="shared" ref="A22:A61" si="2">ROW()-3</f>
        <v>19</v>
      </c>
      <c r="B22" s="35" t="s">
        <v>2372</v>
      </c>
      <c r="C22" s="35" t="s">
        <v>726</v>
      </c>
      <c r="D22" s="35" t="s">
        <v>4641</v>
      </c>
      <c r="E22" s="35" t="s">
        <v>4642</v>
      </c>
      <c r="F22" s="36">
        <v>46099</v>
      </c>
      <c r="G22" s="36">
        <v>46176</v>
      </c>
      <c r="H22" s="36">
        <v>46176</v>
      </c>
      <c r="I22" s="36">
        <v>46147</v>
      </c>
      <c r="J22" s="35">
        <f t="shared" si="1"/>
        <v>0</v>
      </c>
      <c r="K22" s="35">
        <v>10</v>
      </c>
      <c r="L22" s="37">
        <v>5700</v>
      </c>
      <c r="M22" s="37">
        <v>5700</v>
      </c>
      <c r="N22" s="37">
        <v>5700</v>
      </c>
      <c r="O22" s="37">
        <v>5700</v>
      </c>
      <c r="P22" s="37">
        <v>5700</v>
      </c>
      <c r="Q22" s="35" t="s">
        <v>499</v>
      </c>
      <c r="R22" s="46" t="s">
        <v>104</v>
      </c>
      <c r="S22" s="54" t="s">
        <v>501</v>
      </c>
      <c r="T22" s="54" t="s">
        <v>501</v>
      </c>
      <c r="U22" s="54" t="s">
        <v>501</v>
      </c>
      <c r="V22" s="54" t="s">
        <v>1141</v>
      </c>
      <c r="W22" s="54"/>
      <c r="X22" s="37" t="s">
        <v>1141</v>
      </c>
      <c r="Y22" s="37" t="s">
        <v>499</v>
      </c>
      <c r="Z22" s="37" t="s">
        <v>4453</v>
      </c>
      <c r="AA22" s="44">
        <v>46176</v>
      </c>
      <c r="AB22" s="44">
        <v>46178</v>
      </c>
      <c r="AC22" s="39"/>
      <c r="AD22" s="39">
        <v>46202</v>
      </c>
      <c r="AE22" s="40" t="s">
        <v>4643</v>
      </c>
      <c r="AF22" s="41" t="s">
        <v>4637</v>
      </c>
      <c r="AG22" s="2" t="s">
        <v>2533</v>
      </c>
    </row>
    <row r="23" s="2" customFormat="1" ht="27.75" hidden="1" customHeight="1" spans="1:33">
      <c r="A23" s="34">
        <f t="shared" si="2"/>
        <v>20</v>
      </c>
      <c r="B23" s="35" t="s">
        <v>2372</v>
      </c>
      <c r="C23" s="35" t="s">
        <v>726</v>
      </c>
      <c r="D23" s="35" t="s">
        <v>4644</v>
      </c>
      <c r="E23" s="35" t="s">
        <v>4645</v>
      </c>
      <c r="F23" s="36">
        <v>46099</v>
      </c>
      <c r="G23" s="36">
        <v>46176</v>
      </c>
      <c r="H23" s="36">
        <v>46176</v>
      </c>
      <c r="I23" s="36">
        <v>46147</v>
      </c>
      <c r="J23" s="35">
        <f t="shared" si="1"/>
        <v>0</v>
      </c>
      <c r="K23" s="35">
        <v>10</v>
      </c>
      <c r="L23" s="37">
        <v>5700</v>
      </c>
      <c r="M23" s="37">
        <v>5700</v>
      </c>
      <c r="N23" s="37">
        <v>5700</v>
      </c>
      <c r="O23" s="37">
        <v>5700</v>
      </c>
      <c r="P23" s="37">
        <v>5700</v>
      </c>
      <c r="Q23" s="35" t="s">
        <v>499</v>
      </c>
      <c r="R23" s="45" t="s">
        <v>104</v>
      </c>
      <c r="S23" s="38" t="s">
        <v>501</v>
      </c>
      <c r="T23" s="38" t="s">
        <v>501</v>
      </c>
      <c r="U23" s="38" t="s">
        <v>501</v>
      </c>
      <c r="V23" s="38" t="s">
        <v>1141</v>
      </c>
      <c r="W23" s="38"/>
      <c r="X23" s="35" t="s">
        <v>1141</v>
      </c>
      <c r="Y23" s="35" t="s">
        <v>499</v>
      </c>
      <c r="Z23" s="35" t="s">
        <v>4453</v>
      </c>
      <c r="AA23" s="39">
        <v>46176</v>
      </c>
      <c r="AB23" s="57">
        <v>46184</v>
      </c>
      <c r="AC23" s="39"/>
      <c r="AD23" s="39">
        <v>46204</v>
      </c>
      <c r="AE23" s="40" t="s">
        <v>4646</v>
      </c>
      <c r="AF23" s="41" t="s">
        <v>4637</v>
      </c>
      <c r="AG23" s="2" t="s">
        <v>2533</v>
      </c>
    </row>
    <row r="24" s="2" customFormat="1" ht="36.95" hidden="1" customHeight="1" spans="1:33">
      <c r="A24" s="34">
        <f t="shared" si="2"/>
        <v>21</v>
      </c>
      <c r="B24" s="35" t="s">
        <v>2890</v>
      </c>
      <c r="C24" s="35" t="s">
        <v>1674</v>
      </c>
      <c r="D24" s="35" t="s">
        <v>4647</v>
      </c>
      <c r="E24" s="35" t="s">
        <v>4648</v>
      </c>
      <c r="F24" s="36">
        <v>46079</v>
      </c>
      <c r="G24" s="36">
        <v>46177</v>
      </c>
      <c r="H24" s="36">
        <v>46177</v>
      </c>
      <c r="I24" s="36">
        <v>46106</v>
      </c>
      <c r="J24" s="35">
        <f t="shared" si="1"/>
        <v>0</v>
      </c>
      <c r="K24" s="35">
        <v>10</v>
      </c>
      <c r="L24" s="37">
        <v>4900</v>
      </c>
      <c r="M24" s="37">
        <v>4900</v>
      </c>
      <c r="N24" s="37">
        <v>4900</v>
      </c>
      <c r="O24" s="37">
        <v>4900</v>
      </c>
      <c r="P24" s="37">
        <v>4900</v>
      </c>
      <c r="Q24" s="35" t="s">
        <v>499</v>
      </c>
      <c r="R24" s="45" t="s">
        <v>104</v>
      </c>
      <c r="S24" s="38" t="s">
        <v>501</v>
      </c>
      <c r="T24" s="38" t="s">
        <v>501</v>
      </c>
      <c r="U24" s="38" t="s">
        <v>501</v>
      </c>
      <c r="V24" s="38" t="s">
        <v>1141</v>
      </c>
      <c r="W24" s="38"/>
      <c r="X24" s="35" t="s">
        <v>144</v>
      </c>
      <c r="Y24" s="35" t="s">
        <v>499</v>
      </c>
      <c r="Z24" s="35" t="s">
        <v>4243</v>
      </c>
      <c r="AA24" s="39">
        <v>46177</v>
      </c>
      <c r="AB24" s="57">
        <v>46184</v>
      </c>
      <c r="AC24" s="39">
        <v>46185</v>
      </c>
      <c r="AD24" s="39" t="s">
        <v>4649</v>
      </c>
      <c r="AE24" s="40">
        <v>2592516</v>
      </c>
      <c r="AF24" s="41" t="s">
        <v>4637</v>
      </c>
      <c r="AG24" s="2" t="s">
        <v>1610</v>
      </c>
    </row>
    <row r="25" s="2" customFormat="1" ht="27.75" hidden="1" customHeight="1" spans="1:33">
      <c r="A25" s="34">
        <f t="shared" si="2"/>
        <v>22</v>
      </c>
      <c r="B25" s="35" t="s">
        <v>420</v>
      </c>
      <c r="C25" s="35" t="s">
        <v>421</v>
      </c>
      <c r="D25" s="37" t="s">
        <v>4230</v>
      </c>
      <c r="E25" s="35" t="s">
        <v>4231</v>
      </c>
      <c r="F25" s="36">
        <v>46113</v>
      </c>
      <c r="G25" s="36">
        <v>46183</v>
      </c>
      <c r="H25" s="36">
        <v>46183</v>
      </c>
      <c r="I25" s="36">
        <v>46136</v>
      </c>
      <c r="J25" s="35">
        <f t="shared" si="1"/>
        <v>0</v>
      </c>
      <c r="K25" s="35">
        <v>10</v>
      </c>
      <c r="L25" s="37">
        <v>840</v>
      </c>
      <c r="M25" s="37">
        <v>840</v>
      </c>
      <c r="N25" s="37">
        <v>840</v>
      </c>
      <c r="O25" s="37">
        <v>840</v>
      </c>
      <c r="P25" s="37">
        <v>840</v>
      </c>
      <c r="Q25" s="35" t="s">
        <v>499</v>
      </c>
      <c r="R25" s="45" t="s">
        <v>196</v>
      </c>
      <c r="S25" s="38" t="s">
        <v>501</v>
      </c>
      <c r="T25" s="38" t="s">
        <v>501</v>
      </c>
      <c r="U25" s="38" t="s">
        <v>501</v>
      </c>
      <c r="V25" s="38" t="s">
        <v>1141</v>
      </c>
      <c r="W25" s="38"/>
      <c r="X25" s="35" t="s">
        <v>144</v>
      </c>
      <c r="Y25" s="35" t="s">
        <v>499</v>
      </c>
      <c r="Z25" s="37" t="s">
        <v>4232</v>
      </c>
      <c r="AA25" s="39">
        <v>46183</v>
      </c>
      <c r="AB25" s="57">
        <v>46189</v>
      </c>
      <c r="AC25" s="39"/>
      <c r="AD25" s="39">
        <v>46196</v>
      </c>
      <c r="AE25" s="40" t="s">
        <v>4233</v>
      </c>
      <c r="AF25" s="41" t="s">
        <v>4621</v>
      </c>
      <c r="AG25" s="2" t="s">
        <v>1782</v>
      </c>
    </row>
    <row r="26" s="2" customFormat="1" ht="27.75" hidden="1" customHeight="1" spans="1:33">
      <c r="A26" s="34">
        <f t="shared" si="2"/>
        <v>23</v>
      </c>
      <c r="B26" s="35" t="s">
        <v>420</v>
      </c>
      <c r="C26" s="35" t="s">
        <v>421</v>
      </c>
      <c r="D26" s="37" t="s">
        <v>4234</v>
      </c>
      <c r="E26" s="35" t="s">
        <v>4235</v>
      </c>
      <c r="F26" s="36">
        <v>46113</v>
      </c>
      <c r="G26" s="36">
        <v>46192</v>
      </c>
      <c r="H26" s="36">
        <v>46192</v>
      </c>
      <c r="I26" s="36">
        <v>46136</v>
      </c>
      <c r="J26" s="35">
        <f t="shared" si="1"/>
        <v>0</v>
      </c>
      <c r="K26" s="35">
        <v>10</v>
      </c>
      <c r="L26" s="37">
        <v>8400</v>
      </c>
      <c r="M26" s="37">
        <v>8400</v>
      </c>
      <c r="N26" s="37">
        <v>8400</v>
      </c>
      <c r="O26" s="37">
        <v>8400</v>
      </c>
      <c r="P26" s="37">
        <v>8400</v>
      </c>
      <c r="Q26" s="35" t="s">
        <v>499</v>
      </c>
      <c r="R26" s="45" t="s">
        <v>196</v>
      </c>
      <c r="S26" s="38" t="s">
        <v>501</v>
      </c>
      <c r="T26" s="38" t="s">
        <v>501</v>
      </c>
      <c r="U26" s="38" t="s">
        <v>501</v>
      </c>
      <c r="V26" s="38" t="s">
        <v>1141</v>
      </c>
      <c r="W26" s="38"/>
      <c r="X26" s="35" t="s">
        <v>144</v>
      </c>
      <c r="Y26" s="35" t="s">
        <v>499</v>
      </c>
      <c r="Z26" s="37" t="s">
        <v>4210</v>
      </c>
      <c r="AA26" s="39">
        <v>46192</v>
      </c>
      <c r="AB26" s="57">
        <v>46211</v>
      </c>
      <c r="AC26" s="39"/>
      <c r="AD26" s="39">
        <v>46217</v>
      </c>
      <c r="AE26" s="40" t="s">
        <v>4236</v>
      </c>
      <c r="AF26" s="41" t="s">
        <v>4621</v>
      </c>
      <c r="AG26" s="2" t="s">
        <v>1782</v>
      </c>
    </row>
    <row r="27" s="2" customFormat="1" ht="27.75" hidden="1" customHeight="1" spans="1:33">
      <c r="A27" s="34">
        <f t="shared" si="2"/>
        <v>24</v>
      </c>
      <c r="B27" s="35" t="s">
        <v>4531</v>
      </c>
      <c r="C27" s="35" t="s">
        <v>486</v>
      </c>
      <c r="D27" s="37" t="s">
        <v>4532</v>
      </c>
      <c r="E27" s="35" t="s">
        <v>4533</v>
      </c>
      <c r="F27" s="36">
        <v>46104</v>
      </c>
      <c r="G27" s="36">
        <v>46189</v>
      </c>
      <c r="H27" s="36">
        <v>46189</v>
      </c>
      <c r="I27" s="36">
        <v>46127</v>
      </c>
      <c r="J27" s="35">
        <f t="shared" si="1"/>
        <v>0</v>
      </c>
      <c r="K27" s="35">
        <v>10</v>
      </c>
      <c r="L27" s="37">
        <v>120</v>
      </c>
      <c r="M27" s="37">
        <v>120</v>
      </c>
      <c r="N27" s="37">
        <v>120</v>
      </c>
      <c r="O27" s="37">
        <v>120</v>
      </c>
      <c r="P27" s="37">
        <v>120</v>
      </c>
      <c r="Q27" s="35" t="s">
        <v>499</v>
      </c>
      <c r="R27" s="45" t="s">
        <v>104</v>
      </c>
      <c r="S27" s="38" t="s">
        <v>501</v>
      </c>
      <c r="T27" s="38" t="s">
        <v>501</v>
      </c>
      <c r="U27" s="38" t="s">
        <v>501</v>
      </c>
      <c r="V27" s="38" t="s">
        <v>1141</v>
      </c>
      <c r="W27" s="38"/>
      <c r="X27" s="35" t="s">
        <v>144</v>
      </c>
      <c r="Y27" s="35" t="s">
        <v>499</v>
      </c>
      <c r="Z27" s="35" t="s">
        <v>4314</v>
      </c>
      <c r="AA27" s="39">
        <v>46189</v>
      </c>
      <c r="AB27" s="57">
        <v>46191</v>
      </c>
      <c r="AC27" s="39"/>
      <c r="AD27" s="39">
        <v>46209</v>
      </c>
      <c r="AE27" s="40" t="s">
        <v>4534</v>
      </c>
      <c r="AF27" s="41" t="s">
        <v>4637</v>
      </c>
      <c r="AG27" s="2" t="s">
        <v>1782</v>
      </c>
    </row>
    <row r="28" s="2" customFormat="1" ht="27.75" hidden="1" customHeight="1" spans="1:33">
      <c r="A28" s="34">
        <f t="shared" si="2"/>
        <v>25</v>
      </c>
      <c r="B28" s="35" t="s">
        <v>4650</v>
      </c>
      <c r="C28" s="35" t="s">
        <v>114</v>
      </c>
      <c r="D28" s="37" t="s">
        <v>4238</v>
      </c>
      <c r="E28" s="35" t="s">
        <v>4239</v>
      </c>
      <c r="F28" s="36">
        <v>46101</v>
      </c>
      <c r="G28" s="36">
        <v>46197</v>
      </c>
      <c r="H28" s="36">
        <v>46197</v>
      </c>
      <c r="I28" s="36">
        <v>46135</v>
      </c>
      <c r="J28" s="35">
        <f t="shared" si="1"/>
        <v>0</v>
      </c>
      <c r="K28" s="35">
        <v>10</v>
      </c>
      <c r="L28" s="37">
        <v>360</v>
      </c>
      <c r="M28" s="37">
        <v>360</v>
      </c>
      <c r="N28" s="37">
        <v>360</v>
      </c>
      <c r="O28" s="37">
        <v>360</v>
      </c>
      <c r="P28" s="37">
        <v>360</v>
      </c>
      <c r="Q28" s="35" t="s">
        <v>1749</v>
      </c>
      <c r="R28" s="45" t="s">
        <v>104</v>
      </c>
      <c r="S28" s="38" t="s">
        <v>526</v>
      </c>
      <c r="T28" s="38" t="s">
        <v>526</v>
      </c>
      <c r="U28" s="38" t="s">
        <v>526</v>
      </c>
      <c r="V28" s="38" t="s">
        <v>4651</v>
      </c>
      <c r="W28" s="38"/>
      <c r="X28" s="35" t="s">
        <v>526</v>
      </c>
      <c r="Y28" s="35" t="s">
        <v>1749</v>
      </c>
      <c r="Z28" s="37" t="s">
        <v>4240</v>
      </c>
      <c r="AA28" s="39">
        <v>46197</v>
      </c>
      <c r="AB28" s="57">
        <v>46199</v>
      </c>
      <c r="AC28" s="39"/>
      <c r="AD28" s="39">
        <v>46218</v>
      </c>
      <c r="AE28" s="40">
        <v>4504222790</v>
      </c>
      <c r="AF28" s="41" t="s">
        <v>4637</v>
      </c>
      <c r="AG28" s="2" t="s">
        <v>1782</v>
      </c>
    </row>
    <row r="29" s="2" customFormat="1" ht="27.75" hidden="1" customHeight="1" spans="1:33">
      <c r="A29" s="34">
        <f t="shared" si="2"/>
        <v>26</v>
      </c>
      <c r="B29" s="37" t="s">
        <v>4327</v>
      </c>
      <c r="C29" s="37" t="s">
        <v>1945</v>
      </c>
      <c r="D29" s="37" t="s">
        <v>3841</v>
      </c>
      <c r="E29" s="37" t="s">
        <v>3842</v>
      </c>
      <c r="F29" s="56">
        <v>46120</v>
      </c>
      <c r="G29" s="56">
        <v>46197</v>
      </c>
      <c r="H29" s="56">
        <v>46197</v>
      </c>
      <c r="I29" s="56">
        <v>46162</v>
      </c>
      <c r="J29" s="35">
        <f t="shared" si="1"/>
        <v>0</v>
      </c>
      <c r="K29" s="35">
        <v>10</v>
      </c>
      <c r="L29" s="37">
        <v>240</v>
      </c>
      <c r="M29" s="37">
        <v>240</v>
      </c>
      <c r="N29" s="37">
        <v>240</v>
      </c>
      <c r="O29" s="37">
        <v>240</v>
      </c>
      <c r="P29" s="37">
        <v>240</v>
      </c>
      <c r="Q29" s="35" t="s">
        <v>1749</v>
      </c>
      <c r="R29" s="45" t="s">
        <v>104</v>
      </c>
      <c r="S29" s="38" t="s">
        <v>526</v>
      </c>
      <c r="T29" s="38" t="s">
        <v>526</v>
      </c>
      <c r="U29" s="38" t="s">
        <v>526</v>
      </c>
      <c r="V29" s="38" t="s">
        <v>1875</v>
      </c>
      <c r="W29" s="38"/>
      <c r="X29" s="35" t="s">
        <v>2170</v>
      </c>
      <c r="Y29" s="35" t="s">
        <v>1749</v>
      </c>
      <c r="Z29" s="37" t="s">
        <v>4250</v>
      </c>
      <c r="AA29" s="39">
        <v>46197</v>
      </c>
      <c r="AB29" s="57">
        <v>46198</v>
      </c>
      <c r="AC29" s="39"/>
      <c r="AD29" s="39">
        <v>46214</v>
      </c>
      <c r="AE29" s="40" t="s">
        <v>3844</v>
      </c>
      <c r="AF29" s="41" t="s">
        <v>4637</v>
      </c>
      <c r="AG29" s="2" t="s">
        <v>1802</v>
      </c>
    </row>
    <row r="30" s="2" customFormat="1" ht="27.75" hidden="1" customHeight="1" spans="1:33">
      <c r="A30" s="34">
        <f t="shared" si="2"/>
        <v>27</v>
      </c>
      <c r="B30" s="37" t="s">
        <v>2372</v>
      </c>
      <c r="C30" s="37" t="s">
        <v>726</v>
      </c>
      <c r="D30" s="37" t="s">
        <v>4652</v>
      </c>
      <c r="E30" s="37" t="s">
        <v>4653</v>
      </c>
      <c r="F30" s="56">
        <v>46099</v>
      </c>
      <c r="G30" s="56">
        <v>46204</v>
      </c>
      <c r="H30" s="56">
        <v>46204</v>
      </c>
      <c r="I30" s="56">
        <v>46147</v>
      </c>
      <c r="J30" s="35">
        <f t="shared" ref="J30:J61" si="3">SUBTOTAL(9,L30:P30)</f>
        <v>0</v>
      </c>
      <c r="K30" s="35">
        <v>10</v>
      </c>
      <c r="L30" s="37">
        <v>5700</v>
      </c>
      <c r="M30" s="37">
        <v>5700</v>
      </c>
      <c r="N30" s="37">
        <v>5700</v>
      </c>
      <c r="O30" s="37">
        <v>5700</v>
      </c>
      <c r="P30" s="37">
        <v>5700</v>
      </c>
      <c r="Q30" s="35" t="s">
        <v>1749</v>
      </c>
      <c r="R30" s="45" t="s">
        <v>104</v>
      </c>
      <c r="S30" s="38" t="s">
        <v>526</v>
      </c>
      <c r="T30" s="38" t="s">
        <v>526</v>
      </c>
      <c r="U30" s="38" t="s">
        <v>526</v>
      </c>
      <c r="V30" s="38" t="s">
        <v>1875</v>
      </c>
      <c r="W30" s="38"/>
      <c r="X30" s="35" t="s">
        <v>390</v>
      </c>
      <c r="Y30" s="35" t="s">
        <v>1749</v>
      </c>
      <c r="Z30" s="35" t="s">
        <v>4654</v>
      </c>
      <c r="AA30" s="39">
        <v>46204</v>
      </c>
      <c r="AB30" s="44">
        <v>46220</v>
      </c>
      <c r="AC30" s="39"/>
      <c r="AD30" s="39">
        <v>46232</v>
      </c>
      <c r="AE30" s="40" t="s">
        <v>4655</v>
      </c>
      <c r="AF30" s="41" t="s">
        <v>4637</v>
      </c>
      <c r="AG30" s="2" t="s">
        <v>2533</v>
      </c>
    </row>
    <row r="31" s="2" customFormat="1" ht="27.75" hidden="1" customHeight="1" spans="1:33">
      <c r="A31" s="34">
        <f t="shared" si="2"/>
        <v>28</v>
      </c>
      <c r="B31" s="37" t="s">
        <v>420</v>
      </c>
      <c r="C31" s="37" t="s">
        <v>421</v>
      </c>
      <c r="D31" s="37" t="s">
        <v>4244</v>
      </c>
      <c r="E31" s="37" t="s">
        <v>4245</v>
      </c>
      <c r="F31" s="56">
        <v>46113</v>
      </c>
      <c r="G31" s="56">
        <v>46205</v>
      </c>
      <c r="H31" s="56">
        <v>46205</v>
      </c>
      <c r="I31" s="56">
        <v>46182</v>
      </c>
      <c r="J31" s="35">
        <f t="shared" si="3"/>
        <v>0</v>
      </c>
      <c r="K31" s="35">
        <v>10</v>
      </c>
      <c r="L31" s="37">
        <v>2506</v>
      </c>
      <c r="M31" s="37">
        <v>2506</v>
      </c>
      <c r="N31" s="37">
        <v>2506</v>
      </c>
      <c r="O31" s="37">
        <v>2506</v>
      </c>
      <c r="P31" s="37">
        <v>2506</v>
      </c>
      <c r="Q31" s="35" t="s">
        <v>1749</v>
      </c>
      <c r="R31" s="45" t="s">
        <v>196</v>
      </c>
      <c r="S31" s="38" t="s">
        <v>526</v>
      </c>
      <c r="T31" s="38" t="s">
        <v>526</v>
      </c>
      <c r="U31" s="38" t="s">
        <v>526</v>
      </c>
      <c r="V31" s="38" t="s">
        <v>1875</v>
      </c>
      <c r="W31" s="38"/>
      <c r="X31" s="35" t="s">
        <v>933</v>
      </c>
      <c r="Y31" s="35" t="s">
        <v>1749</v>
      </c>
      <c r="Z31" s="37" t="s">
        <v>4332</v>
      </c>
      <c r="AA31" s="39">
        <v>46205</v>
      </c>
      <c r="AB31" s="44">
        <v>46224</v>
      </c>
      <c r="AC31" s="39"/>
      <c r="AD31" s="39">
        <v>46224</v>
      </c>
      <c r="AE31" s="40" t="s">
        <v>4246</v>
      </c>
      <c r="AF31" s="41" t="s">
        <v>4621</v>
      </c>
      <c r="AG31" s="2" t="s">
        <v>1802</v>
      </c>
    </row>
    <row r="32" s="2" customFormat="1" ht="27.75" hidden="1" customHeight="1" spans="1:33">
      <c r="A32" s="34">
        <f t="shared" si="2"/>
        <v>29</v>
      </c>
      <c r="B32" s="37" t="s">
        <v>420</v>
      </c>
      <c r="C32" s="37" t="s">
        <v>421</v>
      </c>
      <c r="D32" s="37" t="s">
        <v>4656</v>
      </c>
      <c r="E32" s="37" t="s">
        <v>4657</v>
      </c>
      <c r="F32" s="56">
        <v>46113</v>
      </c>
      <c r="G32" s="56">
        <v>46205</v>
      </c>
      <c r="H32" s="56">
        <v>46205</v>
      </c>
      <c r="I32" s="56">
        <v>46182</v>
      </c>
      <c r="J32" s="35">
        <f t="shared" si="3"/>
        <v>0</v>
      </c>
      <c r="K32" s="35">
        <v>10</v>
      </c>
      <c r="L32" s="37">
        <v>2506</v>
      </c>
      <c r="M32" s="37">
        <v>2506</v>
      </c>
      <c r="N32" s="37">
        <v>2506</v>
      </c>
      <c r="O32" s="37">
        <v>2506</v>
      </c>
      <c r="P32" s="37">
        <v>2506</v>
      </c>
      <c r="Q32" s="35" t="s">
        <v>1749</v>
      </c>
      <c r="R32" s="45" t="s">
        <v>196</v>
      </c>
      <c r="S32" s="38" t="s">
        <v>526</v>
      </c>
      <c r="T32" s="38" t="s">
        <v>526</v>
      </c>
      <c r="U32" s="38" t="s">
        <v>526</v>
      </c>
      <c r="V32" s="38" t="s">
        <v>1875</v>
      </c>
      <c r="W32" s="38"/>
      <c r="X32" s="35" t="s">
        <v>933</v>
      </c>
      <c r="Y32" s="35" t="s">
        <v>1749</v>
      </c>
      <c r="Z32" s="37" t="s">
        <v>4332</v>
      </c>
      <c r="AA32" s="39">
        <v>46205</v>
      </c>
      <c r="AB32" s="44">
        <v>46224</v>
      </c>
      <c r="AC32" s="39"/>
      <c r="AD32" s="39">
        <v>46227</v>
      </c>
      <c r="AE32" s="40" t="s">
        <v>4658</v>
      </c>
      <c r="AF32" s="41" t="s">
        <v>4621</v>
      </c>
      <c r="AG32" s="2" t="s">
        <v>1802</v>
      </c>
    </row>
    <row r="33" s="2" customFormat="1" ht="27.75" hidden="1" customHeight="1" spans="1:33">
      <c r="A33" s="34">
        <f t="shared" si="2"/>
        <v>30</v>
      </c>
      <c r="B33" s="37" t="s">
        <v>4464</v>
      </c>
      <c r="C33" s="37" t="s">
        <v>1932</v>
      </c>
      <c r="D33" s="37" t="s">
        <v>4465</v>
      </c>
      <c r="E33" s="37" t="s">
        <v>4466</v>
      </c>
      <c r="F33" s="56">
        <v>46132</v>
      </c>
      <c r="G33" s="56">
        <v>46205</v>
      </c>
      <c r="H33" s="56">
        <v>46205</v>
      </c>
      <c r="I33" s="56">
        <v>46141</v>
      </c>
      <c r="J33" s="35">
        <f t="shared" si="3"/>
        <v>0</v>
      </c>
      <c r="K33" s="35">
        <v>10</v>
      </c>
      <c r="L33" s="37">
        <v>854</v>
      </c>
      <c r="M33" s="37">
        <v>854</v>
      </c>
      <c r="N33" s="37">
        <v>854</v>
      </c>
      <c r="O33" s="37">
        <v>854</v>
      </c>
      <c r="P33" s="37">
        <v>854</v>
      </c>
      <c r="Q33" s="35" t="s">
        <v>4467</v>
      </c>
      <c r="R33" s="45" t="s">
        <v>104</v>
      </c>
      <c r="S33" s="38" t="s">
        <v>526</v>
      </c>
      <c r="T33" s="38" t="s">
        <v>526</v>
      </c>
      <c r="U33" s="38" t="s">
        <v>526</v>
      </c>
      <c r="V33" s="38" t="s">
        <v>4659</v>
      </c>
      <c r="W33" s="38"/>
      <c r="X33" s="35" t="s">
        <v>390</v>
      </c>
      <c r="Y33" s="35" t="s">
        <v>4467</v>
      </c>
      <c r="Z33" s="37" t="s">
        <v>4468</v>
      </c>
      <c r="AA33" s="39">
        <v>46205</v>
      </c>
      <c r="AB33" s="44">
        <v>46220</v>
      </c>
      <c r="AC33" s="39"/>
      <c r="AD33" s="39">
        <v>46249</v>
      </c>
      <c r="AE33" s="40">
        <v>2000010246</v>
      </c>
      <c r="AF33" s="41" t="s">
        <v>4637</v>
      </c>
      <c r="AG33" s="2" t="s">
        <v>1802</v>
      </c>
    </row>
    <row r="34" s="2" customFormat="1" ht="27.75" hidden="1" customHeight="1" spans="1:33">
      <c r="A34" s="34">
        <f t="shared" si="2"/>
        <v>31</v>
      </c>
      <c r="B34" s="37" t="s">
        <v>2890</v>
      </c>
      <c r="C34" s="37" t="s">
        <v>1674</v>
      </c>
      <c r="D34" s="37" t="s">
        <v>4660</v>
      </c>
      <c r="E34" s="37" t="s">
        <v>4661</v>
      </c>
      <c r="F34" s="56">
        <v>46079</v>
      </c>
      <c r="G34" s="56">
        <v>46207</v>
      </c>
      <c r="H34" s="56">
        <v>46207</v>
      </c>
      <c r="I34" s="56">
        <v>46106</v>
      </c>
      <c r="J34" s="35">
        <f t="shared" si="3"/>
        <v>0</v>
      </c>
      <c r="K34" s="35">
        <v>10</v>
      </c>
      <c r="L34" s="37">
        <v>4126</v>
      </c>
      <c r="M34" s="37">
        <v>4126</v>
      </c>
      <c r="N34" s="37">
        <v>4126</v>
      </c>
      <c r="O34" s="37">
        <v>4126</v>
      </c>
      <c r="P34" s="37">
        <v>4126</v>
      </c>
      <c r="Q34" s="35" t="s">
        <v>554</v>
      </c>
      <c r="R34" s="45" t="s">
        <v>104</v>
      </c>
      <c r="S34" s="38" t="s">
        <v>1750</v>
      </c>
      <c r="T34" s="38" t="s">
        <v>1750</v>
      </c>
      <c r="U34" s="38" t="s">
        <v>1750</v>
      </c>
      <c r="V34" s="38" t="s">
        <v>4128</v>
      </c>
      <c r="W34" s="38"/>
      <c r="X34" s="35" t="s">
        <v>390</v>
      </c>
      <c r="Y34" s="35" t="s">
        <v>554</v>
      </c>
      <c r="Z34" s="35" t="s">
        <v>4243</v>
      </c>
      <c r="AA34" s="39">
        <v>46207</v>
      </c>
      <c r="AB34" s="44">
        <v>46217</v>
      </c>
      <c r="AC34" s="39">
        <v>46219</v>
      </c>
      <c r="AD34" s="39">
        <v>46233</v>
      </c>
      <c r="AE34" s="40">
        <v>2592519</v>
      </c>
      <c r="AF34" s="41" t="s">
        <v>4637</v>
      </c>
      <c r="AG34" s="2" t="s">
        <v>1610</v>
      </c>
    </row>
    <row r="35" s="2" customFormat="1" ht="27.75" hidden="1" customHeight="1" spans="1:33">
      <c r="A35" s="34">
        <f t="shared" si="2"/>
        <v>32</v>
      </c>
      <c r="B35" s="37" t="s">
        <v>4271</v>
      </c>
      <c r="C35" s="37" t="s">
        <v>114</v>
      </c>
      <c r="D35" s="37" t="s">
        <v>4272</v>
      </c>
      <c r="E35" s="37" t="s">
        <v>1873</v>
      </c>
      <c r="F35" s="56">
        <v>46132</v>
      </c>
      <c r="G35" s="56">
        <v>46205</v>
      </c>
      <c r="H35" s="56">
        <v>46205</v>
      </c>
      <c r="I35" s="56">
        <v>46185</v>
      </c>
      <c r="J35" s="35">
        <f t="shared" si="3"/>
        <v>0</v>
      </c>
      <c r="K35" s="35">
        <v>10</v>
      </c>
      <c r="L35" s="37">
        <v>876</v>
      </c>
      <c r="M35" s="37">
        <v>876</v>
      </c>
      <c r="N35" s="37">
        <v>876</v>
      </c>
      <c r="O35" s="37">
        <v>876</v>
      </c>
      <c r="P35" s="37">
        <v>876</v>
      </c>
      <c r="Q35" s="35" t="s">
        <v>1749</v>
      </c>
      <c r="R35" s="45" t="s">
        <v>104</v>
      </c>
      <c r="S35" s="38" t="s">
        <v>526</v>
      </c>
      <c r="T35" s="38" t="s">
        <v>526</v>
      </c>
      <c r="U35" s="38" t="s">
        <v>526</v>
      </c>
      <c r="V35" s="38" t="s">
        <v>1875</v>
      </c>
      <c r="W35" s="38"/>
      <c r="X35" s="35" t="s">
        <v>933</v>
      </c>
      <c r="Y35" s="35" t="s">
        <v>1749</v>
      </c>
      <c r="Z35" s="35" t="s">
        <v>4250</v>
      </c>
      <c r="AA35" s="39">
        <v>46213</v>
      </c>
      <c r="AB35" s="39">
        <v>46226</v>
      </c>
      <c r="AC35" s="39"/>
      <c r="AD35" s="39">
        <v>46235</v>
      </c>
      <c r="AE35" s="40" t="s">
        <v>4274</v>
      </c>
      <c r="AF35" s="41" t="s">
        <v>4637</v>
      </c>
      <c r="AG35" s="2" t="s">
        <v>1802</v>
      </c>
    </row>
    <row r="36" s="2" customFormat="1" ht="27.75" hidden="1" customHeight="1" spans="1:33">
      <c r="A36" s="34">
        <f t="shared" si="2"/>
        <v>33</v>
      </c>
      <c r="B36" s="37" t="s">
        <v>2890</v>
      </c>
      <c r="C36" s="37" t="s">
        <v>1674</v>
      </c>
      <c r="D36" s="37" t="s">
        <v>4662</v>
      </c>
      <c r="E36" s="37" t="s">
        <v>4663</v>
      </c>
      <c r="F36" s="56">
        <v>46079</v>
      </c>
      <c r="G36" s="56">
        <v>46228</v>
      </c>
      <c r="H36" s="56">
        <v>46228</v>
      </c>
      <c r="I36" s="56">
        <v>46106</v>
      </c>
      <c r="J36" s="35">
        <f t="shared" si="3"/>
        <v>0</v>
      </c>
      <c r="K36" s="35">
        <v>10</v>
      </c>
      <c r="L36" s="37">
        <v>4972</v>
      </c>
      <c r="M36" s="37">
        <v>4972</v>
      </c>
      <c r="N36" s="37">
        <v>4972</v>
      </c>
      <c r="O36" s="37">
        <v>4972</v>
      </c>
      <c r="P36" s="37">
        <v>4972</v>
      </c>
      <c r="Q36" s="35" t="s">
        <v>554</v>
      </c>
      <c r="R36" s="45" t="s">
        <v>104</v>
      </c>
      <c r="S36" s="38" t="s">
        <v>1750</v>
      </c>
      <c r="T36" s="38" t="s">
        <v>1750</v>
      </c>
      <c r="U36" s="38" t="s">
        <v>1750</v>
      </c>
      <c r="V36" s="38" t="s">
        <v>4128</v>
      </c>
      <c r="W36" s="38"/>
      <c r="X36" s="35" t="s">
        <v>933</v>
      </c>
      <c r="Y36" s="35" t="s">
        <v>554</v>
      </c>
      <c r="Z36" s="35" t="s">
        <v>4243</v>
      </c>
      <c r="AA36" s="39">
        <v>46228</v>
      </c>
      <c r="AB36" s="39">
        <v>46238</v>
      </c>
      <c r="AC36" s="58">
        <v>46239</v>
      </c>
      <c r="AD36" s="39">
        <v>46259</v>
      </c>
      <c r="AE36" s="40">
        <v>2592528</v>
      </c>
      <c r="AF36" s="41" t="s">
        <v>4637</v>
      </c>
      <c r="AG36" s="2" t="s">
        <v>1610</v>
      </c>
    </row>
    <row r="37" s="2" customFormat="1" ht="27.75" hidden="1" customHeight="1" spans="1:33">
      <c r="A37" s="34">
        <f t="shared" si="2"/>
        <v>34</v>
      </c>
      <c r="B37" s="37" t="s">
        <v>4335</v>
      </c>
      <c r="C37" s="37" t="s">
        <v>1932</v>
      </c>
      <c r="D37" s="37" t="s">
        <v>4336</v>
      </c>
      <c r="E37" s="37" t="s">
        <v>4337</v>
      </c>
      <c r="F37" s="56">
        <v>46155</v>
      </c>
      <c r="G37" s="56">
        <v>46239</v>
      </c>
      <c r="H37" s="56">
        <v>46239</v>
      </c>
      <c r="I37" s="56">
        <v>46162</v>
      </c>
      <c r="J37" s="35">
        <f t="shared" si="3"/>
        <v>0</v>
      </c>
      <c r="K37" s="35">
        <v>10</v>
      </c>
      <c r="L37" s="37">
        <v>480</v>
      </c>
      <c r="M37" s="37">
        <v>480</v>
      </c>
      <c r="N37" s="37">
        <v>480</v>
      </c>
      <c r="O37" s="37">
        <v>480</v>
      </c>
      <c r="P37" s="37">
        <v>480</v>
      </c>
      <c r="Q37" s="35" t="s">
        <v>1600</v>
      </c>
      <c r="R37" s="45" t="s">
        <v>104</v>
      </c>
      <c r="S37" s="38" t="s">
        <v>4138</v>
      </c>
      <c r="T37" s="38" t="s">
        <v>4138</v>
      </c>
      <c r="U37" s="38" t="s">
        <v>4138</v>
      </c>
      <c r="V37" s="38" t="s">
        <v>82</v>
      </c>
      <c r="W37" s="38" t="s">
        <v>84</v>
      </c>
      <c r="X37" s="35" t="s">
        <v>1227</v>
      </c>
      <c r="Y37" s="35" t="s">
        <v>4664</v>
      </c>
      <c r="Z37" s="35" t="s">
        <v>4250</v>
      </c>
      <c r="AA37" s="39">
        <v>46239</v>
      </c>
      <c r="AB37" s="39">
        <v>46241</v>
      </c>
      <c r="AC37" s="39"/>
      <c r="AD37" s="39">
        <v>46266</v>
      </c>
      <c r="AE37" s="40" t="s">
        <v>4338</v>
      </c>
      <c r="AF37" s="41" t="s">
        <v>4637</v>
      </c>
      <c r="AG37" s="2" t="s">
        <v>1794</v>
      </c>
    </row>
    <row r="38" s="2" customFormat="1" ht="33" hidden="1" customHeight="1" spans="1:33">
      <c r="A38" s="34">
        <f t="shared" si="2"/>
        <v>35</v>
      </c>
      <c r="B38" s="37" t="s">
        <v>2372</v>
      </c>
      <c r="C38" s="37" t="s">
        <v>726</v>
      </c>
      <c r="D38" s="37" t="s">
        <v>4665</v>
      </c>
      <c r="E38" s="37" t="s">
        <v>4666</v>
      </c>
      <c r="F38" s="56">
        <v>46127</v>
      </c>
      <c r="G38" s="56">
        <v>46245</v>
      </c>
      <c r="H38" s="56">
        <v>46245</v>
      </c>
      <c r="I38" s="56">
        <v>46154</v>
      </c>
      <c r="J38" s="35">
        <f t="shared" si="3"/>
        <v>0</v>
      </c>
      <c r="K38" s="35">
        <v>10</v>
      </c>
      <c r="L38" s="37">
        <v>716</v>
      </c>
      <c r="M38" s="37">
        <v>716</v>
      </c>
      <c r="N38" s="37">
        <v>716</v>
      </c>
      <c r="O38" s="37">
        <v>716</v>
      </c>
      <c r="P38" s="37">
        <v>716</v>
      </c>
      <c r="Q38" s="35" t="s">
        <v>1600</v>
      </c>
      <c r="R38" s="45" t="s">
        <v>104</v>
      </c>
      <c r="S38" s="38" t="s">
        <v>4138</v>
      </c>
      <c r="T38" s="38" t="s">
        <v>4138</v>
      </c>
      <c r="U38" s="38" t="s">
        <v>4138</v>
      </c>
      <c r="V38" s="38" t="s">
        <v>4667</v>
      </c>
      <c r="W38" s="38" t="s">
        <v>84</v>
      </c>
      <c r="X38" s="35" t="s">
        <v>844</v>
      </c>
      <c r="Y38" s="35" t="s">
        <v>4664</v>
      </c>
      <c r="Z38" s="35" t="s">
        <v>4250</v>
      </c>
      <c r="AA38" s="39">
        <v>46245</v>
      </c>
      <c r="AB38" s="39">
        <v>46248</v>
      </c>
      <c r="AC38" s="39"/>
      <c r="AD38" s="39">
        <v>46256</v>
      </c>
      <c r="AE38" s="40" t="s">
        <v>4668</v>
      </c>
      <c r="AF38" s="41" t="s">
        <v>4637</v>
      </c>
      <c r="AG38" s="2" t="s">
        <v>1802</v>
      </c>
    </row>
    <row r="39" s="2" customFormat="1" ht="27.75" hidden="1" customHeight="1" spans="1:33">
      <c r="A39" s="34">
        <f t="shared" si="2"/>
        <v>36</v>
      </c>
      <c r="B39" s="35" t="s">
        <v>420</v>
      </c>
      <c r="C39" s="35" t="s">
        <v>421</v>
      </c>
      <c r="D39" s="35" t="s">
        <v>4415</v>
      </c>
      <c r="E39" s="35" t="s">
        <v>4416</v>
      </c>
      <c r="F39" s="36">
        <v>46148</v>
      </c>
      <c r="G39" s="36">
        <v>46253</v>
      </c>
      <c r="H39" s="36">
        <v>46253</v>
      </c>
      <c r="I39" s="36">
        <v>46212</v>
      </c>
      <c r="J39" s="35">
        <f t="shared" si="3"/>
        <v>0</v>
      </c>
      <c r="K39" s="35">
        <v>10</v>
      </c>
      <c r="L39" s="37">
        <v>3500</v>
      </c>
      <c r="M39" s="37">
        <v>3500</v>
      </c>
      <c r="N39" s="37">
        <v>3500</v>
      </c>
      <c r="O39" s="37">
        <v>3500</v>
      </c>
      <c r="P39" s="37">
        <v>3500</v>
      </c>
      <c r="Q39" s="35" t="s">
        <v>1600</v>
      </c>
      <c r="R39" s="45" t="s">
        <v>196</v>
      </c>
      <c r="S39" s="38" t="s">
        <v>4138</v>
      </c>
      <c r="T39" s="38" t="s">
        <v>4138</v>
      </c>
      <c r="U39" s="38" t="s">
        <v>4138</v>
      </c>
      <c r="V39" s="38" t="s">
        <v>1207</v>
      </c>
      <c r="W39" s="38" t="s">
        <v>84</v>
      </c>
      <c r="X39" s="35" t="s">
        <v>607</v>
      </c>
      <c r="Y39" s="35" t="s">
        <v>4664</v>
      </c>
      <c r="Z39" s="37" t="s">
        <v>4332</v>
      </c>
      <c r="AA39" s="39">
        <v>46253</v>
      </c>
      <c r="AB39" s="39">
        <v>46255</v>
      </c>
      <c r="AC39" s="39"/>
      <c r="AD39" s="39">
        <v>46275</v>
      </c>
      <c r="AE39" s="40" t="s">
        <v>4417</v>
      </c>
      <c r="AF39" s="41" t="s">
        <v>4621</v>
      </c>
      <c r="AG39" s="2" t="s">
        <v>4170</v>
      </c>
    </row>
    <row r="40" s="2" customFormat="1" ht="27.75" customHeight="1" spans="1:33">
      <c r="A40" s="34">
        <f t="shared" si="2"/>
        <v>37</v>
      </c>
      <c r="B40" s="37" t="s">
        <v>2890</v>
      </c>
      <c r="C40" s="37" t="s">
        <v>1674</v>
      </c>
      <c r="D40" s="37" t="s">
        <v>4669</v>
      </c>
      <c r="E40" s="37" t="s">
        <v>4670</v>
      </c>
      <c r="F40" s="56">
        <v>46079</v>
      </c>
      <c r="G40" s="56">
        <v>46262</v>
      </c>
      <c r="H40" s="56">
        <v>46262</v>
      </c>
      <c r="I40" s="56">
        <v>46106</v>
      </c>
      <c r="J40" s="35">
        <f t="shared" si="3"/>
        <v>31230</v>
      </c>
      <c r="K40" s="35">
        <v>10</v>
      </c>
      <c r="L40" s="37">
        <v>6246</v>
      </c>
      <c r="M40" s="37">
        <v>6246</v>
      </c>
      <c r="N40" s="37">
        <v>6246</v>
      </c>
      <c r="O40" s="37">
        <v>6246</v>
      </c>
      <c r="P40" s="37">
        <v>6246</v>
      </c>
      <c r="Q40" s="35" t="s">
        <v>1600</v>
      </c>
      <c r="R40" s="45" t="s">
        <v>104</v>
      </c>
      <c r="S40" s="38" t="s">
        <v>4138</v>
      </c>
      <c r="T40" s="38" t="s">
        <v>4138</v>
      </c>
      <c r="U40" s="38" t="s">
        <v>4138</v>
      </c>
      <c r="V40" s="38" t="s">
        <v>1207</v>
      </c>
      <c r="W40" s="38" t="s">
        <v>84</v>
      </c>
      <c r="X40" s="35" t="s">
        <v>1208</v>
      </c>
      <c r="Y40" s="35" t="s">
        <v>4664</v>
      </c>
      <c r="Z40" s="35" t="s">
        <v>4243</v>
      </c>
      <c r="AA40" s="39">
        <v>46262</v>
      </c>
      <c r="AB40" s="39">
        <v>46262</v>
      </c>
      <c r="AC40" s="39" t="s">
        <v>4479</v>
      </c>
      <c r="AD40" s="39"/>
      <c r="AE40" s="40">
        <v>2592441</v>
      </c>
      <c r="AF40" s="41" t="s">
        <v>4637</v>
      </c>
      <c r="AG40" s="2" t="s">
        <v>1610</v>
      </c>
    </row>
    <row r="41" s="2" customFormat="1" ht="27.75" customHeight="1" spans="1:33">
      <c r="A41" s="34">
        <f t="shared" si="2"/>
        <v>38</v>
      </c>
      <c r="B41" s="35" t="s">
        <v>420</v>
      </c>
      <c r="C41" s="35" t="s">
        <v>421</v>
      </c>
      <c r="D41" s="35" t="s">
        <v>4380</v>
      </c>
      <c r="E41" s="35" t="s">
        <v>4381</v>
      </c>
      <c r="F41" s="36">
        <v>46148</v>
      </c>
      <c r="G41" s="36">
        <v>46269</v>
      </c>
      <c r="H41" s="36">
        <v>46269</v>
      </c>
      <c r="I41" s="36">
        <v>46237</v>
      </c>
      <c r="J41" s="35">
        <f t="shared" si="3"/>
        <v>35000</v>
      </c>
      <c r="K41" s="35">
        <v>10</v>
      </c>
      <c r="L41" s="37">
        <v>7000</v>
      </c>
      <c r="M41" s="37">
        <v>7000</v>
      </c>
      <c r="N41" s="37">
        <v>7000</v>
      </c>
      <c r="O41" s="37">
        <v>7000</v>
      </c>
      <c r="P41" s="37">
        <v>7000</v>
      </c>
      <c r="Q41" s="35" t="s">
        <v>1444</v>
      </c>
      <c r="R41" s="45" t="s">
        <v>196</v>
      </c>
      <c r="S41" s="38" t="s">
        <v>4176</v>
      </c>
      <c r="T41" s="38" t="s">
        <v>4176</v>
      </c>
      <c r="U41" s="38" t="s">
        <v>4176</v>
      </c>
      <c r="V41" s="38" t="s">
        <v>1660</v>
      </c>
      <c r="W41" s="38" t="s">
        <v>84</v>
      </c>
      <c r="X41" s="38" t="s">
        <v>1660</v>
      </c>
      <c r="Y41" s="35" t="s">
        <v>1444</v>
      </c>
      <c r="Z41" s="35" t="s">
        <v>4671</v>
      </c>
      <c r="AA41" s="39">
        <v>46272</v>
      </c>
      <c r="AB41" s="39">
        <v>46276</v>
      </c>
      <c r="AC41" s="39"/>
      <c r="AD41" s="39"/>
      <c r="AE41" s="40" t="s">
        <v>4382</v>
      </c>
      <c r="AF41" s="41" t="s">
        <v>4621</v>
      </c>
      <c r="AG41" s="2" t="s">
        <v>4170</v>
      </c>
    </row>
    <row r="42" s="2" customFormat="1" ht="27.75" customHeight="1" spans="1:33">
      <c r="A42" s="59">
        <f t="shared" si="2"/>
        <v>39</v>
      </c>
      <c r="B42" s="60" t="s">
        <v>420</v>
      </c>
      <c r="C42" s="60" t="s">
        <v>421</v>
      </c>
      <c r="D42" s="60" t="s">
        <v>4383</v>
      </c>
      <c r="E42" s="60" t="s">
        <v>4384</v>
      </c>
      <c r="F42" s="61">
        <v>46148</v>
      </c>
      <c r="G42" s="61">
        <v>46283</v>
      </c>
      <c r="H42" s="61">
        <v>46283</v>
      </c>
      <c r="I42" s="61">
        <v>46237</v>
      </c>
      <c r="J42" s="60">
        <f t="shared" si="3"/>
        <v>25000</v>
      </c>
      <c r="K42" s="60">
        <v>10</v>
      </c>
      <c r="L42" s="62">
        <v>5000</v>
      </c>
      <c r="M42" s="62">
        <v>5000</v>
      </c>
      <c r="N42" s="62">
        <v>5000</v>
      </c>
      <c r="O42" s="62">
        <v>5000</v>
      </c>
      <c r="P42" s="62">
        <v>5000</v>
      </c>
      <c r="Q42" s="63" t="s">
        <v>1444</v>
      </c>
      <c r="R42" s="64" t="s">
        <v>196</v>
      </c>
      <c r="S42" s="65" t="s">
        <v>4176</v>
      </c>
      <c r="T42" s="65" t="s">
        <v>4176</v>
      </c>
      <c r="U42" s="65" t="s">
        <v>4176</v>
      </c>
      <c r="V42" s="65" t="s">
        <v>1660</v>
      </c>
      <c r="W42" s="65" t="s">
        <v>84</v>
      </c>
      <c r="X42" s="65" t="s">
        <v>1660</v>
      </c>
      <c r="Y42" s="60" t="s">
        <v>1444</v>
      </c>
      <c r="Z42" s="66" t="s">
        <v>4332</v>
      </c>
      <c r="AA42" s="67">
        <v>46283</v>
      </c>
      <c r="AB42" s="68"/>
      <c r="AC42" s="68"/>
      <c r="AD42" s="69"/>
      <c r="AE42" s="70" t="s">
        <v>4385</v>
      </c>
      <c r="AF42" s="41" t="s">
        <v>4621</v>
      </c>
      <c r="AG42" s="2" t="s">
        <v>4195</v>
      </c>
    </row>
    <row r="43" s="2" customFormat="1" ht="27.75" customHeight="1" spans="1:33">
      <c r="A43" s="71">
        <f t="shared" si="2"/>
        <v>40</v>
      </c>
      <c r="B43" s="72" t="s">
        <v>420</v>
      </c>
      <c r="C43" s="72" t="s">
        <v>421</v>
      </c>
      <c r="D43" s="72" t="s">
        <v>4672</v>
      </c>
      <c r="E43" s="72" t="s">
        <v>4387</v>
      </c>
      <c r="F43" s="73">
        <v>46148</v>
      </c>
      <c r="G43" s="73">
        <v>46289</v>
      </c>
      <c r="H43" s="73">
        <v>46289</v>
      </c>
      <c r="I43" s="73">
        <v>46237</v>
      </c>
      <c r="J43" s="72">
        <f t="shared" si="3"/>
        <v>0</v>
      </c>
      <c r="K43" s="72">
        <v>10</v>
      </c>
      <c r="L43" s="72"/>
      <c r="M43" s="72"/>
      <c r="N43" s="72"/>
      <c r="O43" s="72"/>
      <c r="P43" s="72"/>
      <c r="Q43" s="72" t="s">
        <v>1444</v>
      </c>
      <c r="R43" s="74" t="s">
        <v>196</v>
      </c>
      <c r="S43" s="75" t="s">
        <v>4176</v>
      </c>
      <c r="T43" s="75" t="s">
        <v>4176</v>
      </c>
      <c r="U43" s="75" t="s">
        <v>4176</v>
      </c>
      <c r="V43" s="75" t="s">
        <v>1660</v>
      </c>
      <c r="W43" s="75"/>
      <c r="X43" s="75" t="s">
        <v>1660</v>
      </c>
      <c r="Y43" s="72" t="s">
        <v>1444</v>
      </c>
      <c r="Z43" s="76" t="s">
        <v>4332</v>
      </c>
      <c r="AA43" s="77">
        <v>46289</v>
      </c>
      <c r="AB43" s="77"/>
      <c r="AC43" s="77"/>
      <c r="AD43" s="77" t="s">
        <v>640</v>
      </c>
      <c r="AE43" s="78" t="s">
        <v>4388</v>
      </c>
      <c r="AF43" s="41" t="s">
        <v>4621</v>
      </c>
      <c r="AG43" s="2" t="s">
        <v>4673</v>
      </c>
    </row>
    <row r="44" s="2" customFormat="1" ht="39.95" customHeight="1" spans="1:33">
      <c r="A44" s="59">
        <f t="shared" si="2"/>
        <v>41</v>
      </c>
      <c r="B44" s="66" t="s">
        <v>3063</v>
      </c>
      <c r="C44" s="60" t="s">
        <v>726</v>
      </c>
      <c r="D44" s="60" t="s">
        <v>4674</v>
      </c>
      <c r="E44" s="66" t="s">
        <v>4675</v>
      </c>
      <c r="F44" s="61">
        <v>46149</v>
      </c>
      <c r="G44" s="61">
        <v>46288</v>
      </c>
      <c r="H44" s="61">
        <v>46288</v>
      </c>
      <c r="I44" s="61">
        <v>46219</v>
      </c>
      <c r="J44" s="60">
        <f t="shared" si="3"/>
        <v>7500</v>
      </c>
      <c r="K44" s="60">
        <v>10</v>
      </c>
      <c r="L44" s="62">
        <v>1500</v>
      </c>
      <c r="M44" s="62">
        <v>1500</v>
      </c>
      <c r="N44" s="62">
        <v>1500</v>
      </c>
      <c r="O44" s="62">
        <v>1500</v>
      </c>
      <c r="P44" s="62">
        <v>1500</v>
      </c>
      <c r="Q44" s="79" t="s">
        <v>784</v>
      </c>
      <c r="R44" s="64" t="s">
        <v>104</v>
      </c>
      <c r="S44" s="65" t="s">
        <v>4176</v>
      </c>
      <c r="T44" s="65" t="s">
        <v>4176</v>
      </c>
      <c r="U44" s="65" t="s">
        <v>4176</v>
      </c>
      <c r="V44" s="65" t="s">
        <v>1660</v>
      </c>
      <c r="W44" s="65" t="s">
        <v>84</v>
      </c>
      <c r="X44" s="65" t="s">
        <v>4420</v>
      </c>
      <c r="Y44" s="80" t="s">
        <v>784</v>
      </c>
      <c r="Z44" s="60" t="s">
        <v>4421</v>
      </c>
      <c r="AA44" s="67">
        <v>46288</v>
      </c>
      <c r="AB44" s="81"/>
      <c r="AC44" s="68" t="s">
        <v>4422</v>
      </c>
      <c r="AD44" s="69"/>
      <c r="AE44" s="70">
        <v>325173</v>
      </c>
      <c r="AF44" s="2" t="s">
        <v>4676</v>
      </c>
      <c r="AG44" s="2" t="s">
        <v>4195</v>
      </c>
    </row>
    <row r="45" s="2" customFormat="1" ht="27.75" customHeight="1" spans="1:33">
      <c r="A45" s="59">
        <f t="shared" si="2"/>
        <v>42</v>
      </c>
      <c r="B45" s="66" t="s">
        <v>485</v>
      </c>
      <c r="C45" s="60" t="s">
        <v>486</v>
      </c>
      <c r="D45" s="60" t="s">
        <v>4480</v>
      </c>
      <c r="E45" s="60" t="s">
        <v>4481</v>
      </c>
      <c r="F45" s="61">
        <v>46184</v>
      </c>
      <c r="G45" s="61">
        <v>46289</v>
      </c>
      <c r="H45" s="61">
        <v>46289</v>
      </c>
      <c r="I45" s="82">
        <v>46216</v>
      </c>
      <c r="J45" s="60">
        <f t="shared" si="3"/>
        <v>15000</v>
      </c>
      <c r="K45" s="60">
        <v>10</v>
      </c>
      <c r="L45" s="83">
        <v>3000</v>
      </c>
      <c r="M45" s="83">
        <v>3000</v>
      </c>
      <c r="N45" s="83">
        <v>3000</v>
      </c>
      <c r="O45" s="83">
        <v>3000</v>
      </c>
      <c r="P45" s="83">
        <v>3000</v>
      </c>
      <c r="Q45" s="79" t="s">
        <v>784</v>
      </c>
      <c r="R45" s="64" t="s">
        <v>104</v>
      </c>
      <c r="S45" s="65" t="s">
        <v>4176</v>
      </c>
      <c r="T45" s="65" t="s">
        <v>4176</v>
      </c>
      <c r="U45" s="65" t="s">
        <v>4176</v>
      </c>
      <c r="V45" s="65" t="s">
        <v>1660</v>
      </c>
      <c r="W45" s="65" t="s">
        <v>84</v>
      </c>
      <c r="X45" s="60" t="s">
        <v>4180</v>
      </c>
      <c r="Y45" s="80" t="s">
        <v>784</v>
      </c>
      <c r="Z45" s="66" t="s">
        <v>4250</v>
      </c>
      <c r="AA45" s="67">
        <v>46289</v>
      </c>
      <c r="AB45" s="68"/>
      <c r="AC45" s="68"/>
      <c r="AD45" s="68"/>
      <c r="AE45" s="70" t="s">
        <v>4482</v>
      </c>
      <c r="AF45" s="41" t="s">
        <v>4637</v>
      </c>
      <c r="AG45" s="2" t="s">
        <v>4195</v>
      </c>
    </row>
    <row r="46" s="2" customFormat="1" ht="27.75" customHeight="1" spans="1:33">
      <c r="A46" s="59">
        <f t="shared" si="2"/>
        <v>43</v>
      </c>
      <c r="B46" s="66" t="s">
        <v>485</v>
      </c>
      <c r="C46" s="60" t="s">
        <v>486</v>
      </c>
      <c r="D46" s="60" t="s">
        <v>4677</v>
      </c>
      <c r="E46" s="60" t="s">
        <v>4678</v>
      </c>
      <c r="F46" s="61">
        <v>46196</v>
      </c>
      <c r="G46" s="61">
        <v>46308</v>
      </c>
      <c r="H46" s="61">
        <v>46308</v>
      </c>
      <c r="I46" s="61">
        <v>46213</v>
      </c>
      <c r="J46" s="60">
        <f t="shared" si="3"/>
        <v>15000</v>
      </c>
      <c r="K46" s="60">
        <v>10</v>
      </c>
      <c r="L46" s="62">
        <v>3000</v>
      </c>
      <c r="M46" s="62">
        <v>3000</v>
      </c>
      <c r="N46" s="62">
        <v>3000</v>
      </c>
      <c r="O46" s="62">
        <v>3000</v>
      </c>
      <c r="P46" s="62">
        <v>3000</v>
      </c>
      <c r="Q46" s="79" t="s">
        <v>784</v>
      </c>
      <c r="R46" s="64" t="s">
        <v>104</v>
      </c>
      <c r="S46" s="65" t="s">
        <v>4176</v>
      </c>
      <c r="T46" s="65" t="s">
        <v>4176</v>
      </c>
      <c r="U46" s="65" t="s">
        <v>4176</v>
      </c>
      <c r="V46" s="65" t="s">
        <v>1660</v>
      </c>
      <c r="W46" s="65" t="s">
        <v>84</v>
      </c>
      <c r="X46" s="60" t="s">
        <v>4679</v>
      </c>
      <c r="Y46" s="80" t="s">
        <v>784</v>
      </c>
      <c r="Z46" s="66" t="s">
        <v>4250</v>
      </c>
      <c r="AA46" s="67">
        <v>46308</v>
      </c>
      <c r="AB46" s="68"/>
      <c r="AC46" s="68"/>
      <c r="AD46" s="69"/>
      <c r="AE46" s="70" t="s">
        <v>4680</v>
      </c>
      <c r="AF46" s="42" t="s">
        <v>4637</v>
      </c>
      <c r="AG46" s="2" t="s">
        <v>4195</v>
      </c>
    </row>
    <row r="47" s="2" customFormat="1" ht="32" customHeight="1" spans="1:33">
      <c r="A47" s="59">
        <f t="shared" si="2"/>
        <v>44</v>
      </c>
      <c r="B47" s="84" t="s">
        <v>440</v>
      </c>
      <c r="C47" s="84" t="s">
        <v>114</v>
      </c>
      <c r="D47" s="84" t="s">
        <v>4495</v>
      </c>
      <c r="E47" s="60" t="s">
        <v>4496</v>
      </c>
      <c r="F47" s="85">
        <v>46247</v>
      </c>
      <c r="G47" s="85">
        <v>46324</v>
      </c>
      <c r="H47" s="85">
        <v>46325</v>
      </c>
      <c r="I47" s="85">
        <v>46259</v>
      </c>
      <c r="J47" s="84">
        <f t="shared" si="3"/>
        <v>520</v>
      </c>
      <c r="K47" s="84">
        <v>10</v>
      </c>
      <c r="L47" s="62">
        <v>104</v>
      </c>
      <c r="M47" s="62">
        <v>104</v>
      </c>
      <c r="N47" s="62">
        <v>104</v>
      </c>
      <c r="O47" s="62">
        <v>104</v>
      </c>
      <c r="P47" s="62">
        <v>104</v>
      </c>
      <c r="Q47" s="63" t="s">
        <v>1444</v>
      </c>
      <c r="R47" s="64" t="s">
        <v>104</v>
      </c>
      <c r="S47" s="60" t="s">
        <v>2488</v>
      </c>
      <c r="T47" s="60" t="s">
        <v>82</v>
      </c>
      <c r="U47" s="60" t="s">
        <v>4681</v>
      </c>
      <c r="V47" s="60" t="s">
        <v>82</v>
      </c>
      <c r="W47" s="60" t="s">
        <v>4485</v>
      </c>
      <c r="X47" s="60"/>
      <c r="Y47" s="60" t="s">
        <v>1444</v>
      </c>
      <c r="Z47" s="60" t="s">
        <v>4486</v>
      </c>
      <c r="AA47" s="67">
        <v>46325</v>
      </c>
      <c r="AB47" s="68" t="s">
        <v>4487</v>
      </c>
      <c r="AC47" s="68"/>
      <c r="AD47" s="69"/>
      <c r="AE47" s="70" t="s">
        <v>4682</v>
      </c>
      <c r="AF47" s="2" t="s">
        <v>4683</v>
      </c>
      <c r="AG47" s="2" t="s">
        <v>4684</v>
      </c>
    </row>
    <row r="48" s="2" customFormat="1" ht="32" customHeight="1" spans="1:33">
      <c r="A48" s="59">
        <f t="shared" si="2"/>
        <v>45</v>
      </c>
      <c r="B48" s="86" t="s">
        <v>440</v>
      </c>
      <c r="C48" s="84" t="s">
        <v>114</v>
      </c>
      <c r="D48" s="84" t="s">
        <v>4685</v>
      </c>
      <c r="E48" s="60" t="s">
        <v>4686</v>
      </c>
      <c r="F48" s="85">
        <v>46247</v>
      </c>
      <c r="G48" s="85">
        <v>46315</v>
      </c>
      <c r="H48" s="85">
        <v>46325</v>
      </c>
      <c r="I48" s="85">
        <v>46266</v>
      </c>
      <c r="J48" s="84">
        <f t="shared" si="3"/>
        <v>7360</v>
      </c>
      <c r="K48" s="84">
        <v>10</v>
      </c>
      <c r="L48" s="62">
        <v>1472</v>
      </c>
      <c r="M48" s="62">
        <v>1472</v>
      </c>
      <c r="N48" s="62">
        <v>1472</v>
      </c>
      <c r="O48" s="62">
        <v>1472</v>
      </c>
      <c r="P48" s="62">
        <v>1472</v>
      </c>
      <c r="Q48" s="63" t="s">
        <v>1444</v>
      </c>
      <c r="R48" s="64" t="s">
        <v>104</v>
      </c>
      <c r="S48" s="60" t="s">
        <v>2488</v>
      </c>
      <c r="T48" s="65" t="s">
        <v>4551</v>
      </c>
      <c r="U48" s="65" t="s">
        <v>4551</v>
      </c>
      <c r="V48" s="65" t="s">
        <v>4551</v>
      </c>
      <c r="W48" s="60" t="s">
        <v>4485</v>
      </c>
      <c r="X48" s="60"/>
      <c r="Y48" s="60" t="s">
        <v>1444</v>
      </c>
      <c r="Z48" s="60" t="s">
        <v>4486</v>
      </c>
      <c r="AA48" s="67">
        <v>46325</v>
      </c>
      <c r="AB48" s="68"/>
      <c r="AC48" s="68"/>
      <c r="AD48" s="69"/>
      <c r="AE48" s="70" t="s">
        <v>4687</v>
      </c>
      <c r="AF48" s="2" t="s">
        <v>4683</v>
      </c>
      <c r="AG48" s="2" t="s">
        <v>4688</v>
      </c>
    </row>
    <row r="49" s="2" customFormat="1" ht="32" customHeight="1" spans="1:33">
      <c r="A49" s="59">
        <f t="shared" si="2"/>
        <v>46</v>
      </c>
      <c r="B49" s="84" t="s">
        <v>4582</v>
      </c>
      <c r="C49" s="84" t="s">
        <v>114</v>
      </c>
      <c r="D49" s="84" t="s">
        <v>4500</v>
      </c>
      <c r="E49" s="60" t="s">
        <v>4501</v>
      </c>
      <c r="F49" s="85">
        <v>46245</v>
      </c>
      <c r="G49" s="85">
        <v>46315</v>
      </c>
      <c r="H49" s="85">
        <v>46325</v>
      </c>
      <c r="I49" s="85">
        <v>46259</v>
      </c>
      <c r="J49" s="84">
        <f t="shared" si="3"/>
        <v>1500</v>
      </c>
      <c r="K49" s="84">
        <v>10</v>
      </c>
      <c r="L49" s="62">
        <v>300</v>
      </c>
      <c r="M49" s="62">
        <v>300</v>
      </c>
      <c r="N49" s="62">
        <v>300</v>
      </c>
      <c r="O49" s="62">
        <v>300</v>
      </c>
      <c r="P49" s="62">
        <v>300</v>
      </c>
      <c r="Q49" s="63" t="s">
        <v>1444</v>
      </c>
      <c r="R49" s="64" t="s">
        <v>104</v>
      </c>
      <c r="S49" s="60" t="s">
        <v>2488</v>
      </c>
      <c r="T49" s="60" t="s">
        <v>82</v>
      </c>
      <c r="U49" s="60" t="s">
        <v>4681</v>
      </c>
      <c r="V49" s="60" t="s">
        <v>82</v>
      </c>
      <c r="W49" s="60" t="s">
        <v>4485</v>
      </c>
      <c r="X49" s="60"/>
      <c r="Y49" s="60" t="s">
        <v>1444</v>
      </c>
      <c r="Z49" s="60" t="s">
        <v>4486</v>
      </c>
      <c r="AA49" s="67">
        <v>46325</v>
      </c>
      <c r="AB49" s="68"/>
      <c r="AC49" s="68"/>
      <c r="AD49" s="69"/>
      <c r="AE49" s="70" t="s">
        <v>4689</v>
      </c>
      <c r="AF49" s="2" t="s">
        <v>4683</v>
      </c>
      <c r="AG49" s="2" t="s">
        <v>4684</v>
      </c>
    </row>
    <row r="50" s="2" customFormat="1" ht="32" customHeight="1" spans="1:33">
      <c r="A50" s="59">
        <f t="shared" si="2"/>
        <v>47</v>
      </c>
      <c r="B50" s="84" t="s">
        <v>4584</v>
      </c>
      <c r="C50" s="84" t="s">
        <v>114</v>
      </c>
      <c r="D50" s="84" t="s">
        <v>4585</v>
      </c>
      <c r="E50" s="60" t="s">
        <v>4586</v>
      </c>
      <c r="F50" s="85">
        <v>46245</v>
      </c>
      <c r="G50" s="85">
        <v>46325</v>
      </c>
      <c r="H50" s="85">
        <v>46325</v>
      </c>
      <c r="I50" s="85">
        <v>46259</v>
      </c>
      <c r="J50" s="84">
        <f t="shared" si="3"/>
        <v>550</v>
      </c>
      <c r="K50" s="84">
        <v>10</v>
      </c>
      <c r="L50" s="62">
        <v>110</v>
      </c>
      <c r="M50" s="62">
        <v>110</v>
      </c>
      <c r="N50" s="62">
        <v>110</v>
      </c>
      <c r="O50" s="62">
        <v>110</v>
      </c>
      <c r="P50" s="62">
        <v>110</v>
      </c>
      <c r="Q50" s="63" t="s">
        <v>1444</v>
      </c>
      <c r="R50" s="64" t="s">
        <v>104</v>
      </c>
      <c r="S50" s="60" t="s">
        <v>2488</v>
      </c>
      <c r="T50" s="60" t="s">
        <v>82</v>
      </c>
      <c r="U50" s="60" t="s">
        <v>4681</v>
      </c>
      <c r="V50" s="60" t="s">
        <v>82</v>
      </c>
      <c r="W50" s="60" t="s">
        <v>4485</v>
      </c>
      <c r="X50" s="60"/>
      <c r="Y50" s="60" t="s">
        <v>1444</v>
      </c>
      <c r="Z50" s="60" t="s">
        <v>4486</v>
      </c>
      <c r="AA50" s="67">
        <v>46325</v>
      </c>
      <c r="AB50" s="68"/>
      <c r="AC50" s="68"/>
      <c r="AD50" s="69"/>
      <c r="AE50" s="70" t="s">
        <v>4690</v>
      </c>
      <c r="AF50" s="2" t="s">
        <v>4683</v>
      </c>
      <c r="AG50" s="2" t="s">
        <v>4684</v>
      </c>
    </row>
    <row r="51" s="2" customFormat="1" ht="27.75" customHeight="1" spans="1:33">
      <c r="A51" s="59">
        <f t="shared" si="2"/>
        <v>48</v>
      </c>
      <c r="B51" s="86" t="s">
        <v>2890</v>
      </c>
      <c r="C51" s="86" t="s">
        <v>1674</v>
      </c>
      <c r="D51" s="84" t="s">
        <v>4506</v>
      </c>
      <c r="E51" s="84" t="s">
        <v>4507</v>
      </c>
      <c r="F51" s="85">
        <v>46252</v>
      </c>
      <c r="G51" s="85">
        <v>46339</v>
      </c>
      <c r="H51" s="85">
        <v>46339</v>
      </c>
      <c r="I51" s="85">
        <v>46275</v>
      </c>
      <c r="J51" s="84">
        <f t="shared" si="3"/>
        <v>15000</v>
      </c>
      <c r="K51" s="84">
        <v>10</v>
      </c>
      <c r="L51" s="62">
        <v>3000</v>
      </c>
      <c r="M51" s="62">
        <v>3000</v>
      </c>
      <c r="N51" s="62">
        <v>3000</v>
      </c>
      <c r="O51" s="62">
        <v>3000</v>
      </c>
      <c r="P51" s="62">
        <v>3000</v>
      </c>
      <c r="Q51" s="63" t="s">
        <v>1444</v>
      </c>
      <c r="R51" s="64" t="s">
        <v>104</v>
      </c>
      <c r="S51" s="60" t="s">
        <v>2488</v>
      </c>
      <c r="T51" s="60" t="s">
        <v>2488</v>
      </c>
      <c r="U51" s="60" t="s">
        <v>2488</v>
      </c>
      <c r="V51" s="60" t="s">
        <v>2488</v>
      </c>
      <c r="W51" s="65" t="s">
        <v>84</v>
      </c>
      <c r="X51" s="60"/>
      <c r="Y51" s="60" t="s">
        <v>1444</v>
      </c>
      <c r="Z51" s="60" t="s">
        <v>4243</v>
      </c>
      <c r="AA51" s="67">
        <v>46339</v>
      </c>
      <c r="AB51" s="68"/>
      <c r="AC51" s="68"/>
      <c r="AD51" s="69"/>
      <c r="AE51" s="70">
        <v>2672361</v>
      </c>
      <c r="AF51" s="2" t="s">
        <v>4637</v>
      </c>
      <c r="AG51" s="2" t="s">
        <v>4508</v>
      </c>
    </row>
    <row r="52" s="2" customFormat="1" ht="27.75" customHeight="1" spans="1:33">
      <c r="A52" s="59">
        <f t="shared" si="2"/>
        <v>49</v>
      </c>
      <c r="B52" s="86" t="s">
        <v>485</v>
      </c>
      <c r="C52" s="86" t="s">
        <v>486</v>
      </c>
      <c r="D52" s="84" t="s">
        <v>4548</v>
      </c>
      <c r="E52" s="84" t="s">
        <v>4549</v>
      </c>
      <c r="F52" s="85">
        <v>46258</v>
      </c>
      <c r="G52" s="85">
        <v>46028</v>
      </c>
      <c r="H52" s="85">
        <v>46332</v>
      </c>
      <c r="I52" s="85">
        <v>46276</v>
      </c>
      <c r="J52" s="84">
        <f t="shared" si="3"/>
        <v>15000</v>
      </c>
      <c r="K52" s="84">
        <v>10</v>
      </c>
      <c r="L52" s="62">
        <v>3000</v>
      </c>
      <c r="M52" s="62">
        <v>3000</v>
      </c>
      <c r="N52" s="62">
        <v>3000</v>
      </c>
      <c r="O52" s="62">
        <v>3000</v>
      </c>
      <c r="P52" s="62">
        <v>3000</v>
      </c>
      <c r="Q52" s="63" t="s">
        <v>1444</v>
      </c>
      <c r="R52" s="64" t="s">
        <v>104</v>
      </c>
      <c r="S52" s="60" t="s">
        <v>2488</v>
      </c>
      <c r="T52" s="60" t="s">
        <v>2488</v>
      </c>
      <c r="U52" s="60" t="s">
        <v>2488</v>
      </c>
      <c r="V52" s="60" t="s">
        <v>2488</v>
      </c>
      <c r="W52" s="65" t="s">
        <v>84</v>
      </c>
      <c r="X52" s="60"/>
      <c r="Y52" s="60" t="s">
        <v>1444</v>
      </c>
      <c r="Z52" s="66" t="s">
        <v>4250</v>
      </c>
      <c r="AA52" s="67">
        <v>46332</v>
      </c>
      <c r="AB52" s="68"/>
      <c r="AC52" s="68"/>
      <c r="AD52" s="69"/>
      <c r="AE52" s="70" t="s">
        <v>4550</v>
      </c>
      <c r="AF52" s="2" t="s">
        <v>4637</v>
      </c>
      <c r="AG52" s="2" t="s">
        <v>2397</v>
      </c>
    </row>
    <row r="53" s="2" customFormat="1" ht="27.75" customHeight="1" spans="1:33">
      <c r="A53" s="59">
        <f t="shared" si="2"/>
        <v>50</v>
      </c>
      <c r="B53" s="87" t="s">
        <v>3162</v>
      </c>
      <c r="C53" s="87" t="s">
        <v>360</v>
      </c>
      <c r="D53" s="88"/>
      <c r="E53" s="88"/>
      <c r="F53" s="89">
        <v>46261</v>
      </c>
      <c r="G53" s="89">
        <v>46331</v>
      </c>
      <c r="H53" s="89">
        <v>46331</v>
      </c>
      <c r="I53" s="89"/>
      <c r="J53" s="88">
        <f t="shared" si="3"/>
        <v>6000</v>
      </c>
      <c r="K53" s="88">
        <v>10</v>
      </c>
      <c r="L53" s="62">
        <v>1200</v>
      </c>
      <c r="M53" s="62">
        <v>1200</v>
      </c>
      <c r="N53" s="62">
        <v>1200</v>
      </c>
      <c r="O53" s="62">
        <v>1200</v>
      </c>
      <c r="P53" s="62">
        <v>1200</v>
      </c>
      <c r="Q53" s="63" t="s">
        <v>1444</v>
      </c>
      <c r="R53" s="64" t="s">
        <v>104</v>
      </c>
      <c r="S53" s="60" t="s">
        <v>2488</v>
      </c>
      <c r="T53" s="60" t="s">
        <v>2488</v>
      </c>
      <c r="U53" s="60" t="s">
        <v>2488</v>
      </c>
      <c r="V53" s="60" t="s">
        <v>2488</v>
      </c>
      <c r="W53" s="65" t="s">
        <v>84</v>
      </c>
      <c r="X53" s="60"/>
      <c r="Y53" s="60" t="s">
        <v>1444</v>
      </c>
      <c r="Z53" s="66" t="s">
        <v>4250</v>
      </c>
      <c r="AA53" s="67">
        <v>46331</v>
      </c>
      <c r="AB53" s="68"/>
      <c r="AC53" s="68"/>
      <c r="AD53" s="69"/>
      <c r="AE53" s="70" t="s">
        <v>3165</v>
      </c>
      <c r="AF53" s="2" t="s">
        <v>4637</v>
      </c>
      <c r="AG53" s="2" t="s">
        <v>4691</v>
      </c>
    </row>
    <row r="54" s="2" customFormat="1" ht="27.75" customHeight="1" spans="1:33">
      <c r="A54" s="59">
        <f t="shared" si="2"/>
        <v>51</v>
      </c>
      <c r="B54" s="90" t="s">
        <v>4271</v>
      </c>
      <c r="C54" s="90" t="s">
        <v>114</v>
      </c>
      <c r="D54" s="91"/>
      <c r="E54" s="91"/>
      <c r="F54" s="92">
        <v>46273</v>
      </c>
      <c r="G54" s="92">
        <v>46353</v>
      </c>
      <c r="H54" s="92"/>
      <c r="I54" s="92"/>
      <c r="J54" s="91">
        <f t="shared" si="3"/>
        <v>2380</v>
      </c>
      <c r="K54" s="91">
        <v>10</v>
      </c>
      <c r="L54" s="62">
        <v>476</v>
      </c>
      <c r="M54" s="62">
        <v>476</v>
      </c>
      <c r="N54" s="62">
        <v>476</v>
      </c>
      <c r="O54" s="62">
        <v>476</v>
      </c>
      <c r="P54" s="62">
        <v>476</v>
      </c>
      <c r="Q54" s="63"/>
      <c r="R54" s="64" t="s">
        <v>104</v>
      </c>
      <c r="S54" s="60"/>
      <c r="T54" s="60"/>
      <c r="U54" s="60"/>
      <c r="V54" s="65"/>
      <c r="W54" s="65"/>
      <c r="X54" s="60"/>
      <c r="Y54" s="60"/>
      <c r="Z54" s="60"/>
      <c r="AA54" s="67"/>
      <c r="AB54" s="68"/>
      <c r="AC54" s="68"/>
      <c r="AD54" s="69"/>
      <c r="AE54" s="70"/>
      <c r="AF54" s="2" t="s">
        <v>4683</v>
      </c>
    </row>
    <row r="55" s="2" customFormat="1" ht="27.75" customHeight="1" spans="1:33">
      <c r="A55" s="59">
        <f t="shared" si="2"/>
        <v>52</v>
      </c>
      <c r="B55" s="90" t="s">
        <v>4271</v>
      </c>
      <c r="C55" s="90" t="s">
        <v>114</v>
      </c>
      <c r="D55" s="91"/>
      <c r="E55" s="91"/>
      <c r="F55" s="92">
        <v>46273</v>
      </c>
      <c r="G55" s="92">
        <v>46353</v>
      </c>
      <c r="H55" s="92"/>
      <c r="I55" s="92"/>
      <c r="J55" s="91">
        <f t="shared" si="3"/>
        <v>1790</v>
      </c>
      <c r="K55" s="91">
        <v>10</v>
      </c>
      <c r="L55" s="62">
        <v>358</v>
      </c>
      <c r="M55" s="62">
        <v>358</v>
      </c>
      <c r="N55" s="62">
        <v>358</v>
      </c>
      <c r="O55" s="62">
        <v>358</v>
      </c>
      <c r="P55" s="62">
        <v>358</v>
      </c>
      <c r="Q55" s="63"/>
      <c r="R55" s="64" t="s">
        <v>104</v>
      </c>
      <c r="S55" s="60"/>
      <c r="T55" s="60"/>
      <c r="U55" s="60"/>
      <c r="V55" s="65"/>
      <c r="W55" s="65"/>
      <c r="X55" s="60"/>
      <c r="Y55" s="60"/>
      <c r="Z55" s="60"/>
      <c r="AA55" s="67"/>
      <c r="AB55" s="68"/>
      <c r="AC55" s="68"/>
      <c r="AD55" s="69"/>
      <c r="AE55" s="70"/>
      <c r="AF55" s="2" t="s">
        <v>4683</v>
      </c>
    </row>
    <row r="56" s="2" customFormat="1" ht="27.75" customHeight="1" spans="1:33">
      <c r="A56" s="59">
        <f t="shared" si="2"/>
        <v>53</v>
      </c>
      <c r="B56" s="90" t="s">
        <v>4271</v>
      </c>
      <c r="C56" s="90" t="s">
        <v>114</v>
      </c>
      <c r="D56" s="91"/>
      <c r="E56" s="91"/>
      <c r="F56" s="92">
        <v>46273</v>
      </c>
      <c r="G56" s="92">
        <v>46353</v>
      </c>
      <c r="H56" s="92"/>
      <c r="I56" s="92"/>
      <c r="J56" s="91">
        <f t="shared" si="3"/>
        <v>2390</v>
      </c>
      <c r="K56" s="91">
        <v>10</v>
      </c>
      <c r="L56" s="62">
        <v>478</v>
      </c>
      <c r="M56" s="62">
        <v>478</v>
      </c>
      <c r="N56" s="62">
        <v>478</v>
      </c>
      <c r="O56" s="62">
        <v>478</v>
      </c>
      <c r="P56" s="62">
        <v>478</v>
      </c>
      <c r="Q56" s="63"/>
      <c r="R56" s="64" t="s">
        <v>104</v>
      </c>
      <c r="S56" s="60"/>
      <c r="T56" s="60"/>
      <c r="U56" s="60"/>
      <c r="V56" s="65"/>
      <c r="W56" s="65"/>
      <c r="X56" s="60"/>
      <c r="Y56" s="60"/>
      <c r="Z56" s="60"/>
      <c r="AA56" s="67"/>
      <c r="AB56" s="68"/>
      <c r="AC56" s="68"/>
      <c r="AD56" s="69"/>
      <c r="AE56" s="70"/>
      <c r="AF56" s="2" t="s">
        <v>4683</v>
      </c>
    </row>
    <row r="57" s="2" customFormat="1" ht="27.75" customHeight="1" spans="1:33">
      <c r="A57" s="59">
        <f t="shared" si="2"/>
        <v>54</v>
      </c>
      <c r="B57" s="90" t="s">
        <v>4511</v>
      </c>
      <c r="C57" s="90" t="s">
        <v>726</v>
      </c>
      <c r="D57" s="91" t="s">
        <v>4512</v>
      </c>
      <c r="E57" s="91"/>
      <c r="F57" s="92">
        <v>46274</v>
      </c>
      <c r="G57" s="92"/>
      <c r="H57" s="92"/>
      <c r="I57" s="92"/>
      <c r="J57" s="91">
        <f t="shared" si="3"/>
        <v>48395</v>
      </c>
      <c r="K57" s="91">
        <v>10</v>
      </c>
      <c r="L57" s="62">
        <v>9679</v>
      </c>
      <c r="M57" s="62">
        <v>9679</v>
      </c>
      <c r="N57" s="62">
        <v>9679</v>
      </c>
      <c r="O57" s="62">
        <v>9679</v>
      </c>
      <c r="P57" s="62">
        <v>9679</v>
      </c>
      <c r="Q57" s="63"/>
      <c r="R57" s="64" t="s">
        <v>104</v>
      </c>
      <c r="S57" s="60"/>
      <c r="T57" s="60"/>
      <c r="U57" s="60"/>
      <c r="V57" s="65"/>
      <c r="W57" s="65"/>
      <c r="X57" s="60"/>
      <c r="Y57" s="60"/>
      <c r="Z57" s="60"/>
      <c r="AA57" s="67"/>
      <c r="AB57" s="68"/>
      <c r="AC57" s="68"/>
      <c r="AD57" s="69"/>
      <c r="AE57" s="70"/>
      <c r="AF57" s="2" t="s">
        <v>4637</v>
      </c>
    </row>
    <row r="58" s="2" customFormat="1" ht="27.75" customHeight="1" spans="1:33">
      <c r="A58" s="59">
        <f t="shared" si="2"/>
        <v>55</v>
      </c>
      <c r="B58" s="91" t="s">
        <v>420</v>
      </c>
      <c r="C58" s="91" t="s">
        <v>421</v>
      </c>
      <c r="D58" s="91" t="s">
        <v>4389</v>
      </c>
      <c r="E58" s="91"/>
      <c r="F58" s="92">
        <v>46276</v>
      </c>
      <c r="G58" s="92"/>
      <c r="H58" s="92"/>
      <c r="I58" s="92"/>
      <c r="J58" s="91">
        <f t="shared" si="3"/>
        <v>7000</v>
      </c>
      <c r="K58" s="91">
        <v>10</v>
      </c>
      <c r="L58" s="62">
        <v>1400</v>
      </c>
      <c r="M58" s="62">
        <v>1400</v>
      </c>
      <c r="N58" s="62">
        <v>1400</v>
      </c>
      <c r="O58" s="62">
        <v>1400</v>
      </c>
      <c r="P58" s="62">
        <v>1400</v>
      </c>
      <c r="Q58" s="63" t="s">
        <v>1444</v>
      </c>
      <c r="R58" s="64" t="s">
        <v>196</v>
      </c>
      <c r="S58" s="60" t="s">
        <v>82</v>
      </c>
      <c r="T58" s="60"/>
      <c r="U58" s="60"/>
      <c r="V58" s="65"/>
      <c r="W58" s="65"/>
      <c r="X58" s="60"/>
      <c r="Y58" s="60"/>
      <c r="Z58" s="66" t="s">
        <v>4332</v>
      </c>
      <c r="AA58" s="67"/>
      <c r="AB58" s="68"/>
      <c r="AC58" s="68"/>
      <c r="AD58" s="69"/>
      <c r="AE58" s="70" t="s">
        <v>4390</v>
      </c>
      <c r="AF58" s="2" t="s">
        <v>4621</v>
      </c>
    </row>
    <row r="59" s="2" customFormat="1" ht="27.75" customHeight="1" spans="1:33">
      <c r="A59" s="59">
        <f t="shared" si="2"/>
        <v>56</v>
      </c>
      <c r="B59" s="91" t="s">
        <v>420</v>
      </c>
      <c r="C59" s="91" t="s">
        <v>421</v>
      </c>
      <c r="D59" s="91" t="s">
        <v>4513</v>
      </c>
      <c r="E59" s="91"/>
      <c r="F59" s="92">
        <v>46276</v>
      </c>
      <c r="G59" s="92"/>
      <c r="H59" s="92"/>
      <c r="I59" s="92"/>
      <c r="J59" s="91">
        <f t="shared" si="3"/>
        <v>3120</v>
      </c>
      <c r="K59" s="91">
        <v>10</v>
      </c>
      <c r="L59" s="62">
        <v>624</v>
      </c>
      <c r="M59" s="62">
        <v>624</v>
      </c>
      <c r="N59" s="62">
        <v>624</v>
      </c>
      <c r="O59" s="62">
        <v>624</v>
      </c>
      <c r="P59" s="62">
        <v>624</v>
      </c>
      <c r="Q59" s="63" t="s">
        <v>1444</v>
      </c>
      <c r="R59" s="64" t="s">
        <v>196</v>
      </c>
      <c r="S59" s="60" t="s">
        <v>4692</v>
      </c>
      <c r="T59" s="60"/>
      <c r="U59" s="60"/>
      <c r="V59" s="65"/>
      <c r="W59" s="65"/>
      <c r="X59" s="60"/>
      <c r="Y59" s="60"/>
      <c r="Z59" s="66" t="s">
        <v>4332</v>
      </c>
      <c r="AA59" s="67"/>
      <c r="AB59" s="68"/>
      <c r="AC59" s="68"/>
      <c r="AD59" s="69"/>
      <c r="AE59" s="70" t="s">
        <v>4514</v>
      </c>
      <c r="AF59" s="2" t="s">
        <v>4621</v>
      </c>
    </row>
    <row r="60" s="2" customFormat="1" ht="27.75" customHeight="1" spans="1:33">
      <c r="A60" s="59">
        <f t="shared" si="2"/>
        <v>57</v>
      </c>
      <c r="B60" s="91" t="s">
        <v>420</v>
      </c>
      <c r="C60" s="91" t="s">
        <v>421</v>
      </c>
      <c r="D60" s="91" t="s">
        <v>4391</v>
      </c>
      <c r="E60" s="91"/>
      <c r="F60" s="92">
        <v>46276</v>
      </c>
      <c r="G60" s="92"/>
      <c r="H60" s="92"/>
      <c r="I60" s="92"/>
      <c r="J60" s="91">
        <f t="shared" si="3"/>
        <v>18000</v>
      </c>
      <c r="K60" s="91">
        <v>10</v>
      </c>
      <c r="L60" s="62">
        <v>3600</v>
      </c>
      <c r="M60" s="62">
        <v>3600</v>
      </c>
      <c r="N60" s="62">
        <v>3600</v>
      </c>
      <c r="O60" s="62">
        <v>3600</v>
      </c>
      <c r="P60" s="62">
        <v>3600</v>
      </c>
      <c r="Q60" s="63"/>
      <c r="R60" s="64" t="s">
        <v>196</v>
      </c>
      <c r="S60" s="60"/>
      <c r="T60" s="60"/>
      <c r="U60" s="60"/>
      <c r="V60" s="65"/>
      <c r="W60" s="65"/>
      <c r="X60" s="60"/>
      <c r="Y60" s="60"/>
      <c r="Z60" s="66" t="s">
        <v>4332</v>
      </c>
      <c r="AA60" s="67"/>
      <c r="AB60" s="68"/>
      <c r="AC60" s="68"/>
      <c r="AD60" s="69"/>
      <c r="AE60" s="70" t="s">
        <v>4392</v>
      </c>
      <c r="AF60" s="2" t="s">
        <v>4621</v>
      </c>
    </row>
    <row r="61" s="2" customFormat="1" ht="27.75" customHeight="1" spans="1:33">
      <c r="A61" s="59">
        <f t="shared" si="2"/>
        <v>58</v>
      </c>
      <c r="B61" s="91" t="s">
        <v>420</v>
      </c>
      <c r="C61" s="91" t="s">
        <v>421</v>
      </c>
      <c r="D61" s="91" t="s">
        <v>4515</v>
      </c>
      <c r="E61" s="91"/>
      <c r="F61" s="92">
        <v>46276</v>
      </c>
      <c r="G61" s="92"/>
      <c r="H61" s="92"/>
      <c r="I61" s="92"/>
      <c r="J61" s="91">
        <f t="shared" si="3"/>
        <v>4380</v>
      </c>
      <c r="K61" s="91">
        <v>10</v>
      </c>
      <c r="L61" s="62">
        <v>876</v>
      </c>
      <c r="M61" s="62">
        <v>876</v>
      </c>
      <c r="N61" s="62">
        <v>876</v>
      </c>
      <c r="O61" s="62">
        <v>876</v>
      </c>
      <c r="P61" s="62">
        <v>876</v>
      </c>
      <c r="Q61" s="63"/>
      <c r="R61" s="64" t="s">
        <v>196</v>
      </c>
      <c r="S61" s="60"/>
      <c r="T61" s="60"/>
      <c r="U61" s="60"/>
      <c r="V61" s="65"/>
      <c r="W61" s="65"/>
      <c r="X61" s="60"/>
      <c r="Y61" s="60"/>
      <c r="Z61" s="66" t="s">
        <v>4332</v>
      </c>
      <c r="AA61" s="67"/>
      <c r="AB61" s="68"/>
      <c r="AC61" s="68"/>
      <c r="AD61" s="69"/>
      <c r="AE61" s="70" t="s">
        <v>4516</v>
      </c>
      <c r="AF61" s="2" t="s">
        <v>4621</v>
      </c>
    </row>
    <row r="62" s="2" customFormat="1" ht="27.75" customHeight="1" spans="1:33">
      <c r="A62" s="59"/>
      <c r="B62" s="86"/>
      <c r="C62" s="86"/>
      <c r="D62" s="84"/>
      <c r="E62" s="84"/>
      <c r="F62" s="85"/>
      <c r="G62" s="85"/>
      <c r="H62" s="85"/>
      <c r="I62" s="85"/>
      <c r="J62" s="84"/>
      <c r="K62" s="84"/>
      <c r="L62" s="62"/>
      <c r="M62" s="62"/>
      <c r="N62" s="62"/>
      <c r="O62" s="62"/>
      <c r="P62" s="62"/>
      <c r="Q62" s="63"/>
      <c r="R62" s="64"/>
      <c r="S62" s="60"/>
      <c r="T62" s="60"/>
      <c r="U62" s="60"/>
      <c r="V62" s="65"/>
      <c r="W62" s="65"/>
      <c r="X62" s="60"/>
      <c r="Y62" s="60"/>
      <c r="Z62" s="60"/>
      <c r="AA62" s="67"/>
      <c r="AB62" s="68"/>
      <c r="AC62" s="68"/>
      <c r="AD62" s="69"/>
      <c r="AE62" s="70"/>
    </row>
    <row r="63" s="2" customFormat="1" ht="27.75" customHeight="1" spans="1:33">
      <c r="A63" s="59"/>
      <c r="B63" s="60"/>
      <c r="C63" s="60"/>
      <c r="D63" s="60"/>
      <c r="E63" s="60"/>
      <c r="F63" s="61"/>
      <c r="G63" s="61"/>
      <c r="H63" s="61"/>
      <c r="I63" s="61"/>
      <c r="J63" s="60"/>
      <c r="K63" s="60"/>
      <c r="L63" s="62"/>
      <c r="M63" s="62"/>
      <c r="N63" s="62"/>
      <c r="O63" s="62"/>
      <c r="P63" s="62"/>
      <c r="Q63" s="63"/>
      <c r="R63" s="63"/>
      <c r="S63" s="60"/>
      <c r="T63" s="60"/>
      <c r="U63" s="60"/>
      <c r="V63" s="65"/>
      <c r="W63" s="65"/>
      <c r="X63" s="60"/>
      <c r="Y63" s="60"/>
      <c r="Z63" s="60"/>
      <c r="AA63" s="67"/>
      <c r="AB63" s="68"/>
      <c r="AC63" s="68"/>
      <c r="AD63" s="69"/>
      <c r="AE63" s="70"/>
    </row>
    <row r="64" s="3" customFormat="1" ht="17.1" customHeight="1" spans="1:33">
      <c r="A64" s="93" t="s">
        <v>66</v>
      </c>
      <c r="B64" s="94"/>
      <c r="C64" s="94"/>
      <c r="D64" s="94"/>
      <c r="E64" s="94"/>
      <c r="F64" s="94"/>
      <c r="G64" s="94"/>
      <c r="H64" s="94"/>
      <c r="I64" s="94"/>
      <c r="J64" s="95">
        <f>SUM(J4:J42)</f>
        <v>91230</v>
      </c>
      <c r="K64" s="95"/>
      <c r="L64" s="95">
        <f>SUM(L4:L63)</f>
        <v>143453</v>
      </c>
      <c r="M64" s="95">
        <f>SUM(M4:M63)</f>
        <v>143453</v>
      </c>
      <c r="N64" s="95">
        <f>SUM(N4:N63)</f>
        <v>143453</v>
      </c>
      <c r="O64" s="95">
        <f>SUM(O4:O63)</f>
        <v>143453</v>
      </c>
      <c r="P64" s="95">
        <f>SUM(P4:P63)</f>
        <v>143453</v>
      </c>
      <c r="Q64" s="96"/>
      <c r="R64" s="96"/>
      <c r="S64" s="96"/>
      <c r="T64" s="96"/>
      <c r="U64" s="96"/>
      <c r="V64" s="96"/>
      <c r="W64" s="96"/>
      <c r="X64" s="96"/>
      <c r="Y64" s="96"/>
      <c r="Z64" s="97"/>
      <c r="AA64" s="97"/>
      <c r="AB64" s="97"/>
      <c r="AC64" s="97"/>
      <c r="AD64" s="97"/>
      <c r="AE64" s="98"/>
    </row>
    <row r="65" s="4" customFormat="1" ht="17.1" customHeight="1" spans="1:31">
      <c r="A65" s="99"/>
      <c r="B65" s="100"/>
      <c r="C65" s="100"/>
      <c r="D65" s="100"/>
      <c r="E65" s="100"/>
      <c r="F65" s="100"/>
      <c r="G65" s="100"/>
      <c r="H65" s="100"/>
      <c r="I65" s="100"/>
      <c r="J65" s="100">
        <f>SUM(L65:P65)</f>
        <v>629810</v>
      </c>
      <c r="K65" s="100"/>
      <c r="L65" s="100">
        <f t="shared" ref="L65:P65" si="4">16946+6000+28250+4000+20682+9720+7698+480+10500+14000+486+3000+3000+1200</f>
        <v>125962</v>
      </c>
      <c r="M65" s="100">
        <f t="shared" si="4"/>
        <v>125962</v>
      </c>
      <c r="N65" s="100">
        <f t="shared" si="4"/>
        <v>125962</v>
      </c>
      <c r="O65" s="100">
        <f t="shared" si="4"/>
        <v>125962</v>
      </c>
      <c r="P65" s="100">
        <f t="shared" si="4"/>
        <v>125962</v>
      </c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1"/>
      <c r="AB65" s="101"/>
      <c r="AC65" s="101"/>
      <c r="AD65" s="101"/>
      <c r="AE65" s="102"/>
    </row>
    <row r="66" s="4" customFormat="1" ht="17.1" customHeight="1" spans="1:31">
      <c r="A66" s="103" t="s">
        <v>67</v>
      </c>
      <c r="B66" s="104"/>
      <c r="C66" s="104"/>
      <c r="D66" s="104"/>
      <c r="E66" s="104"/>
      <c r="F66" s="104"/>
      <c r="G66" s="104"/>
      <c r="H66" s="104"/>
      <c r="I66" s="104"/>
      <c r="J66" s="105">
        <f>SUM(L66:P66)</f>
        <v>-87455</v>
      </c>
      <c r="K66" s="104"/>
      <c r="L66" s="106">
        <f>L65-L64</f>
        <v>-17491</v>
      </c>
      <c r="M66" s="106">
        <f>M65-M64</f>
        <v>-17491</v>
      </c>
      <c r="N66" s="106">
        <f>N65-N64</f>
        <v>-17491</v>
      </c>
      <c r="O66" s="106">
        <f>O65-O64</f>
        <v>-17491</v>
      </c>
      <c r="P66" s="106">
        <f>P65-P64</f>
        <v>-17491</v>
      </c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8"/>
      <c r="AB66" s="108"/>
      <c r="AC66" s="108"/>
      <c r="AD66" s="108"/>
      <c r="AE66" s="109"/>
    </row>
    <row r="67" customFormat="1" spans="1:31">
      <c r="B67" s="110" t="s">
        <v>68</v>
      </c>
      <c r="C67" s="110"/>
      <c r="D67" s="111"/>
      <c r="E67" s="111"/>
      <c r="F67" s="112"/>
      <c r="G67" s="112"/>
      <c r="H67" s="112"/>
      <c r="I67" s="112"/>
      <c r="AA67" s="113"/>
      <c r="AB67" s="113"/>
      <c r="AC67" s="113"/>
      <c r="AD67" s="114"/>
    </row>
    <row r="68" s="5" customFormat="1" spans="1:31">
      <c r="F68" s="115"/>
      <c r="G68" s="115"/>
      <c r="H68" s="115"/>
      <c r="I68" s="11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116"/>
      <c r="V68" s="5"/>
      <c r="AA68" s="117"/>
      <c r="AB68" s="117"/>
      <c r="AC68" s="117"/>
      <c r="AD68" s="117"/>
    </row>
    <row r="69" s="5" customFormat="1" ht="34" customHeight="1" spans="1:31">
      <c r="F69" s="115"/>
      <c r="G69" s="115"/>
      <c r="H69" s="118" t="s">
        <v>4693</v>
      </c>
      <c r="I69" s="115"/>
      <c r="J69" s="5"/>
      <c r="K69" s="5"/>
      <c r="L69" s="5"/>
      <c r="M69" s="5"/>
      <c r="N69" s="5"/>
      <c r="O69" s="5"/>
      <c r="P69" s="5"/>
      <c r="Q69" s="5"/>
      <c r="R69" s="119" t="s">
        <v>196</v>
      </c>
      <c r="S69" s="5">
        <f>1500</f>
        <v>1500</v>
      </c>
      <c r="X69" s="5">
        <v>750</v>
      </c>
      <c r="Y69" s="5"/>
      <c r="Z69" s="5"/>
      <c r="AA69" s="117"/>
      <c r="AB69" s="117"/>
      <c r="AC69" s="117"/>
      <c r="AD69" s="117"/>
    </row>
  </sheetData>
  <autoFilter xmlns:etc="http://www.wps.cn/officeDocument/2017/etCustomData" ref="A3:AG69" etc:filterBottomFollowUsedRange="0">
    <filterColumn colId="29">
      <filters blank="1">
        <filter val="取消订单"/>
      </filters>
    </filterColumn>
    <extLst/>
  </autoFilter>
  <mergeCells count="33">
    <mergeCell ref="A1:AA1"/>
    <mergeCell ref="AB1:AC1"/>
    <mergeCell ref="AD1:AE1"/>
    <mergeCell ref="L2:P2"/>
    <mergeCell ref="A64:I64"/>
    <mergeCell ref="A65:I65"/>
    <mergeCell ref="A66:I66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</mergeCells>
  <conditionalFormatting sqref="L66:P66">
    <cfRule type="cellIs" dxfId="0" priority="1" operator="lessThan">
      <formula>0</formula>
    </cfRule>
  </conditionalFormatting>
  <printOptions horizontalCentered="1"/>
  <pageMargins left="0.235416666666667" right="0.235416666666667" top="0.15625" bottom="0.15625" header="0.313888888888889" footer="0.313888888888889"/>
  <pageSetup paperSize="9" scale="64" orientation="landscape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微软用户</Company>
  <Application>Microsoft Excel</Application>
  <HeadingPairs>
    <vt:vector size="2" baseType="variant">
      <vt:variant>
        <vt:lpstr>工作表</vt:lpstr>
      </vt:variant>
      <vt:variant>
        <vt:i4>69</vt:i4>
      </vt:variant>
    </vt:vector>
  </HeadingPairs>
  <TitlesOfParts>
    <vt:vector size="69" baseType="lpstr">
      <vt:lpstr>#33835 小搪胶鸭子 </vt:lpstr>
      <vt:lpstr>#11839 磁铁肩膀史迪仔</vt:lpstr>
      <vt:lpstr>#14265 匙扣系列6款</vt:lpstr>
      <vt:lpstr>#27694 侏罗纪棘龙</vt:lpstr>
      <vt:lpstr>#28465 14寸动物</vt:lpstr>
      <vt:lpstr>#75280 搪胶公仔</vt:lpstr>
      <vt:lpstr>#25250肩膀磁铁公仔</vt:lpstr>
      <vt:lpstr>#50530 肩胶磁铁公仔</vt:lpstr>
      <vt:lpstr>#14245 肩膀磁铁公仔</vt:lpstr>
      <vt:lpstr>#14225 肩膀磁铁公仔</vt:lpstr>
      <vt:lpstr>#82165肩膀磁铁海棉宝宝</vt:lpstr>
      <vt:lpstr>#11369 投影米奇</vt:lpstr>
      <vt:lpstr>#21150 六款豆袋系列</vt:lpstr>
      <vt:lpstr>#11356毯子系列8款</vt:lpstr>
      <vt:lpstr>#12369摇手米奇 </vt:lpstr>
      <vt:lpstr>#12125爬爬米奇米妮减价版本</vt:lpstr>
      <vt:lpstr>#14745两款坐姿米奇米妮</vt:lpstr>
      <vt:lpstr>#88188 背包狗</vt:lpstr>
      <vt:lpstr>#28472 11" 浅黄色狮子</vt:lpstr>
      <vt:lpstr>#28483 振动球</vt:lpstr>
      <vt:lpstr>#28481 骰子</vt:lpstr>
      <vt:lpstr>#28458 五款硅胶手感球</vt:lpstr>
      <vt:lpstr>#75280 3款搪胶公仔</vt:lpstr>
      <vt:lpstr>#33429 搪胶小鸭子系列</vt:lpstr>
      <vt:lpstr>#33920 搪胶7款</vt:lpstr>
      <vt:lpstr>#33782 小搪胶鸭子</vt:lpstr>
      <vt:lpstr>#33454 小搪胶鸭子</vt:lpstr>
      <vt:lpstr>#33410 小搪胶鸭子</vt:lpstr>
      <vt:lpstr>#33430 小鸭子</vt:lpstr>
      <vt:lpstr>#33487 盲盒小鸭子</vt:lpstr>
      <vt:lpstr>#33776 盲盒小鸭子</vt:lpstr>
      <vt:lpstr>#33490 搪胶小鸭子</vt:lpstr>
      <vt:lpstr>#33475 搪胶小鸭子</vt:lpstr>
      <vt:lpstr>#33813 搪胶7款</vt:lpstr>
      <vt:lpstr>#33812 搪胶5款</vt:lpstr>
      <vt:lpstr>#33808 搪胶8款</vt:lpstr>
      <vt:lpstr>#33807 搪胶8款</vt:lpstr>
      <vt:lpstr>#送RR 小鸭子</vt:lpstr>
      <vt:lpstr>#12772迪斯尼搪胶鸭子</vt:lpstr>
      <vt:lpstr>#33735小搪胶鸭子</vt:lpstr>
      <vt:lpstr>#33465 W1+W2+W3+W4+W5+W6</vt:lpstr>
      <vt:lpstr>#33658 纽约系列 </vt:lpstr>
      <vt:lpstr>#33708 星战系列 </vt:lpstr>
      <vt:lpstr>#33853 情人节系列</vt:lpstr>
      <vt:lpstr>#33415 小搪胶鸭子系列13款</vt:lpstr>
      <vt:lpstr>#33438 夏季小鸭系列</vt:lpstr>
      <vt:lpstr>#33769 小搪胶鸭子</vt:lpstr>
      <vt:lpstr>#26850华纳小鸭子超人系列</vt:lpstr>
      <vt:lpstr>#26870华纳小鸭子恐怖系列</vt:lpstr>
      <vt:lpstr>#33865 搪胶小鸭子</vt:lpstr>
      <vt:lpstr>#33610小搪胶鸭子</vt:lpstr>
      <vt:lpstr>#33670 搪胶小鸭子 </vt:lpstr>
      <vt:lpstr>#33745搪胶小鸭子 </vt:lpstr>
      <vt:lpstr>#33825搪胶小鸭子 </vt:lpstr>
      <vt:lpstr>#33970搪胶小鸭子</vt:lpstr>
      <vt:lpstr>#46113 14"史迪仔</vt:lpstr>
      <vt:lpstr>#46440 6款桶装系列 </vt:lpstr>
      <vt:lpstr>#46919米妮系列</vt:lpstr>
      <vt:lpstr>#46918 米奇老鼠系列 </vt:lpstr>
      <vt:lpstr>#46496米妮系列</vt:lpstr>
      <vt:lpstr>#46911蜘蛛侠系列</vt:lpstr>
      <vt:lpstr>#46462史迪仔系列</vt:lpstr>
      <vt:lpstr>#46134 海洋奇缘系列</vt:lpstr>
      <vt:lpstr>#46133 小美人鱼系列</vt:lpstr>
      <vt:lpstr>#46132 赛车总动员系列</vt:lpstr>
      <vt:lpstr>#46099 米奇老鼠系列</vt:lpstr>
      <vt:lpstr>#46097 小熊维尼历险记系列</vt:lpstr>
      <vt:lpstr>#46094 漫威系列</vt:lpstr>
      <vt:lpstr>#46092 玩具总动员系列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一卫梁抡淖</cp:lastModifiedBy>
  <cp:revision>2</cp:revision>
  <dcterms:created xsi:type="dcterms:W3CDTF">2014-02-25T02:29:00Z</dcterms:created>
  <cp:lastPrinted>2025-12-17T10:15:00Z</cp:lastPrinted>
  <dcterms:modified xsi:type="dcterms:W3CDTF">2026-09-12T09:53:35Z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123A888FB94247D596B89839CB5CA271_13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